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horsley/Downloads/"/>
    </mc:Choice>
  </mc:AlternateContent>
  <xr:revisionPtr revIDLastSave="0" documentId="8_{4261A709-565D-2E47-859F-663EAABD3A92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  <sheet name="Sheet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5" l="1"/>
  <c r="H27" i="5"/>
  <c r="G27" i="5"/>
  <c r="F27" i="5"/>
  <c r="E27" i="5"/>
  <c r="D27" i="5"/>
  <c r="C27" i="5"/>
  <c r="C28" i="5" s="1"/>
  <c r="I26" i="5"/>
  <c r="H26" i="5"/>
  <c r="G26" i="5"/>
  <c r="F26" i="5"/>
  <c r="E26" i="5"/>
  <c r="D26" i="5"/>
  <c r="D28" i="5" s="1"/>
  <c r="C26" i="5"/>
  <c r="B26" i="5"/>
  <c r="B28" i="5"/>
  <c r="B27" i="5"/>
  <c r="C17" i="5"/>
  <c r="D17" i="5"/>
  <c r="E17" i="5"/>
  <c r="F17" i="5"/>
  <c r="G17" i="5"/>
  <c r="H17" i="5"/>
  <c r="I17" i="5"/>
  <c r="B17" i="5"/>
  <c r="B9" i="5"/>
  <c r="C19" i="5"/>
  <c r="D19" i="5"/>
  <c r="E19" i="5"/>
  <c r="F19" i="5"/>
  <c r="G19" i="5"/>
  <c r="H19" i="5"/>
  <c r="I19" i="5"/>
  <c r="B19" i="5"/>
  <c r="C10" i="5"/>
  <c r="D10" i="5"/>
  <c r="E10" i="5"/>
  <c r="F10" i="5"/>
  <c r="G10" i="5"/>
  <c r="H10" i="5"/>
  <c r="I10" i="5"/>
  <c r="B10" i="5"/>
  <c r="C9" i="5"/>
  <c r="D9" i="5"/>
  <c r="E9" i="5"/>
  <c r="F9" i="5"/>
  <c r="G9" i="5"/>
  <c r="H9" i="5"/>
  <c r="I9" i="5"/>
  <c r="H4" i="5"/>
  <c r="C23" i="5"/>
  <c r="D23" i="5"/>
  <c r="E23" i="5"/>
  <c r="F23" i="5"/>
  <c r="G23" i="5"/>
  <c r="H23" i="5"/>
  <c r="I23" i="5"/>
  <c r="B23" i="5"/>
  <c r="C22" i="5"/>
  <c r="D22" i="5"/>
  <c r="E22" i="5"/>
  <c r="F22" i="5"/>
  <c r="G22" i="5"/>
  <c r="H22" i="5"/>
  <c r="I22" i="5"/>
  <c r="B22" i="5"/>
  <c r="C6" i="3"/>
  <c r="B6" i="3"/>
  <c r="C15" i="5"/>
  <c r="C16" i="5" s="1"/>
  <c r="D15" i="5"/>
  <c r="D16" i="5" s="1"/>
  <c r="E15" i="5"/>
  <c r="F15" i="5"/>
  <c r="F16" i="5" s="1"/>
  <c r="G15" i="5"/>
  <c r="G16" i="5" s="1"/>
  <c r="H15" i="5"/>
  <c r="I15" i="5"/>
  <c r="I16" i="5" s="1"/>
  <c r="J15" i="5"/>
  <c r="J16" i="5" s="1"/>
  <c r="L15" i="5"/>
  <c r="L16" i="5" s="1"/>
  <c r="M15" i="5"/>
  <c r="N16" i="5" s="1"/>
  <c r="N15" i="5"/>
  <c r="O15" i="5"/>
  <c r="O16" i="5" s="1"/>
  <c r="P15" i="5"/>
  <c r="B15" i="5"/>
  <c r="C11" i="5"/>
  <c r="D11" i="5"/>
  <c r="E11" i="5"/>
  <c r="F11" i="5"/>
  <c r="G11" i="5"/>
  <c r="H11" i="5"/>
  <c r="I11" i="5"/>
  <c r="B11" i="5"/>
  <c r="C6" i="5"/>
  <c r="D6" i="5"/>
  <c r="E6" i="5"/>
  <c r="C5" i="5"/>
  <c r="F5" i="5"/>
  <c r="I3" i="5"/>
  <c r="I6" i="5" s="1"/>
  <c r="H3" i="5"/>
  <c r="H6" i="5" s="1"/>
  <c r="G3" i="5"/>
  <c r="G6" i="5" s="1"/>
  <c r="F3" i="5"/>
  <c r="F6" i="5" s="1"/>
  <c r="E3" i="5"/>
  <c r="E4" i="5" s="1"/>
  <c r="D3" i="5"/>
  <c r="D4" i="5" s="1"/>
  <c r="C3" i="5"/>
  <c r="C4" i="5" s="1"/>
  <c r="B3" i="5"/>
  <c r="B5" i="5" s="1"/>
  <c r="C1" i="5"/>
  <c r="D1" i="5" s="1"/>
  <c r="E1" i="5" s="1"/>
  <c r="F1" i="5" s="1"/>
  <c r="G1" i="5" s="1"/>
  <c r="H1" i="5" s="1"/>
  <c r="I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E28" i="5" l="1"/>
  <c r="I28" i="5"/>
  <c r="F28" i="5"/>
  <c r="G28" i="5"/>
  <c r="H28" i="5"/>
  <c r="C8" i="5"/>
  <c r="I5" i="5"/>
  <c r="E5" i="5"/>
  <c r="D5" i="5"/>
  <c r="E16" i="5"/>
  <c r="I4" i="5"/>
  <c r="G4" i="5"/>
  <c r="F4" i="5"/>
  <c r="B4" i="5"/>
  <c r="B8" i="5" s="1"/>
  <c r="H16" i="5"/>
  <c r="C7" i="5"/>
  <c r="E7" i="5"/>
  <c r="E8" i="5"/>
  <c r="D7" i="5"/>
  <c r="D8" i="5"/>
  <c r="G5" i="5"/>
  <c r="B6" i="5"/>
  <c r="H5" i="5"/>
  <c r="M16" i="5"/>
  <c r="B7" i="5"/>
  <c r="I65" i="4"/>
  <c r="I63" i="4"/>
  <c r="I62" i="4"/>
  <c r="L112" i="1"/>
  <c r="G62" i="4"/>
  <c r="H62" i="4"/>
  <c r="F8" i="5" l="1"/>
  <c r="F7" i="5"/>
  <c r="G8" i="5"/>
  <c r="G7" i="5"/>
  <c r="H7" i="5"/>
  <c r="H8" i="5"/>
  <c r="I7" i="5"/>
  <c r="I8" i="5"/>
  <c r="R18" i="4"/>
  <c r="S18" i="4" s="1"/>
  <c r="T18" i="4" s="1"/>
  <c r="U18" i="4" s="1"/>
  <c r="V18" i="4" s="1"/>
  <c r="J52" i="4"/>
  <c r="K52" i="4"/>
  <c r="L52" i="4"/>
  <c r="M52" i="4"/>
  <c r="N52" i="4"/>
  <c r="V84" i="1" l="1"/>
  <c r="U84" i="1"/>
  <c r="T84" i="1"/>
  <c r="S84" i="1"/>
  <c r="R84" i="1"/>
  <c r="Q84" i="1"/>
  <c r="H30" i="1"/>
  <c r="H36" i="1" s="1"/>
  <c r="H45" i="1"/>
  <c r="H58" i="1"/>
  <c r="H59" i="1"/>
  <c r="I23" i="4"/>
  <c r="I41" i="4"/>
  <c r="K19" i="4"/>
  <c r="L19" i="4" s="1"/>
  <c r="M19" i="4" s="1"/>
  <c r="N19" i="4" s="1"/>
  <c r="K13" i="4"/>
  <c r="J10" i="1"/>
  <c r="R3" i="4"/>
  <c r="S3" i="4"/>
  <c r="T3" i="4"/>
  <c r="J145" i="3"/>
  <c r="I170" i="3"/>
  <c r="I91" i="3"/>
  <c r="I85" i="3"/>
  <c r="I54" i="3"/>
  <c r="I52" i="3"/>
  <c r="I195" i="3"/>
  <c r="I197" i="3" s="1"/>
  <c r="I192" i="3"/>
  <c r="I189" i="3"/>
  <c r="I185" i="3"/>
  <c r="I180" i="3"/>
  <c r="I178" i="3"/>
  <c r="I176" i="3"/>
  <c r="I174" i="3"/>
  <c r="I175" i="3" s="1"/>
  <c r="I177" i="3" s="1"/>
  <c r="I172" i="3"/>
  <c r="I168" i="3"/>
  <c r="I110" i="3"/>
  <c r="I95" i="3"/>
  <c r="I93" i="3"/>
  <c r="I89" i="3"/>
  <c r="I83" i="3"/>
  <c r="C83" i="3"/>
  <c r="D83" i="3"/>
  <c r="E83" i="3"/>
  <c r="E84" i="3" s="1"/>
  <c r="F83" i="3"/>
  <c r="G83" i="3"/>
  <c r="H83" i="3"/>
  <c r="C25" i="3"/>
  <c r="D25" i="3"/>
  <c r="E25" i="3"/>
  <c r="F25" i="3"/>
  <c r="G25" i="3"/>
  <c r="H25" i="3"/>
  <c r="I25" i="3"/>
  <c r="C214" i="3"/>
  <c r="D214" i="3"/>
  <c r="E214" i="3"/>
  <c r="E215" i="3" s="1"/>
  <c r="F214" i="3"/>
  <c r="F216" i="3" s="1"/>
  <c r="G214" i="3"/>
  <c r="H214" i="3"/>
  <c r="I214" i="3"/>
  <c r="B214" i="3"/>
  <c r="C211" i="3"/>
  <c r="D211" i="3"/>
  <c r="E211" i="3"/>
  <c r="F211" i="3"/>
  <c r="F212" i="3" s="1"/>
  <c r="G211" i="3"/>
  <c r="H211" i="3"/>
  <c r="I211" i="3"/>
  <c r="B211" i="3"/>
  <c r="C208" i="3"/>
  <c r="D208" i="3"/>
  <c r="E208" i="3"/>
  <c r="E209" i="3" s="1"/>
  <c r="F208" i="3"/>
  <c r="G209" i="3" s="1"/>
  <c r="G208" i="3"/>
  <c r="H208" i="3"/>
  <c r="I208" i="3"/>
  <c r="I209" i="3" s="1"/>
  <c r="B208" i="3"/>
  <c r="C204" i="3"/>
  <c r="D204" i="3"/>
  <c r="E204" i="3"/>
  <c r="E205" i="3" s="1"/>
  <c r="F204" i="3"/>
  <c r="F205" i="3" s="1"/>
  <c r="G204" i="3"/>
  <c r="H204" i="3"/>
  <c r="I204" i="3"/>
  <c r="B204" i="3"/>
  <c r="C199" i="3"/>
  <c r="D199" i="3"/>
  <c r="E199" i="3"/>
  <c r="F199" i="3"/>
  <c r="G200" i="3" s="1"/>
  <c r="G199" i="3"/>
  <c r="H199" i="3"/>
  <c r="I199" i="3"/>
  <c r="B199" i="3"/>
  <c r="C192" i="3"/>
  <c r="D192" i="3"/>
  <c r="D193" i="3" s="1"/>
  <c r="E192" i="3"/>
  <c r="F192" i="3"/>
  <c r="G193" i="3" s="1"/>
  <c r="G192" i="3"/>
  <c r="H192" i="3"/>
  <c r="C195" i="3"/>
  <c r="D195" i="3"/>
  <c r="E195" i="3"/>
  <c r="F195" i="3"/>
  <c r="G195" i="3"/>
  <c r="H195" i="3"/>
  <c r="H196" i="3" s="1"/>
  <c r="B195" i="3"/>
  <c r="B192" i="3"/>
  <c r="C189" i="3"/>
  <c r="D189" i="3"/>
  <c r="E189" i="3"/>
  <c r="F189" i="3"/>
  <c r="G189" i="3"/>
  <c r="G190" i="3" s="1"/>
  <c r="H189" i="3"/>
  <c r="B189" i="3"/>
  <c r="C185" i="3"/>
  <c r="D185" i="3"/>
  <c r="E185" i="3"/>
  <c r="F185" i="3"/>
  <c r="G185" i="3"/>
  <c r="G186" i="3" s="1"/>
  <c r="H185" i="3"/>
  <c r="B185" i="3"/>
  <c r="C186" i="3" s="1"/>
  <c r="C168" i="3"/>
  <c r="D168" i="3"/>
  <c r="E168" i="3"/>
  <c r="F168" i="3"/>
  <c r="G168" i="3"/>
  <c r="H168" i="3"/>
  <c r="C172" i="3"/>
  <c r="D172" i="3"/>
  <c r="E172" i="3"/>
  <c r="F172" i="3"/>
  <c r="G172" i="3"/>
  <c r="H172" i="3"/>
  <c r="C176" i="3"/>
  <c r="D176" i="3"/>
  <c r="E176" i="3"/>
  <c r="F176" i="3"/>
  <c r="G176" i="3"/>
  <c r="H176" i="3"/>
  <c r="C180" i="3"/>
  <c r="D180" i="3"/>
  <c r="E180" i="3"/>
  <c r="F180" i="3"/>
  <c r="G180" i="3"/>
  <c r="H180" i="3"/>
  <c r="B180" i="3"/>
  <c r="B176" i="3"/>
  <c r="B172" i="3"/>
  <c r="B168" i="3"/>
  <c r="C178" i="3"/>
  <c r="D178" i="3"/>
  <c r="E178" i="3"/>
  <c r="E179" i="3" s="1"/>
  <c r="E181" i="3" s="1"/>
  <c r="F178" i="3"/>
  <c r="F179" i="3" s="1"/>
  <c r="F181" i="3" s="1"/>
  <c r="G178" i="3"/>
  <c r="H178" i="3"/>
  <c r="B178" i="3"/>
  <c r="C174" i="3"/>
  <c r="D174" i="3"/>
  <c r="E174" i="3"/>
  <c r="F174" i="3"/>
  <c r="F175" i="3" s="1"/>
  <c r="F177" i="3" s="1"/>
  <c r="G174" i="3"/>
  <c r="G175" i="3" s="1"/>
  <c r="G177" i="3" s="1"/>
  <c r="H174" i="3"/>
  <c r="B174" i="3"/>
  <c r="C170" i="3"/>
  <c r="D170" i="3"/>
  <c r="E170" i="3"/>
  <c r="F170" i="3"/>
  <c r="G170" i="3"/>
  <c r="H170" i="3"/>
  <c r="H171" i="3" s="1"/>
  <c r="H173" i="3" s="1"/>
  <c r="B170" i="3"/>
  <c r="C166" i="3"/>
  <c r="D166" i="3"/>
  <c r="E166" i="3"/>
  <c r="F166" i="3"/>
  <c r="G166" i="3"/>
  <c r="H166" i="3"/>
  <c r="I166" i="3"/>
  <c r="I167" i="3" s="1"/>
  <c r="I169" i="3" s="1"/>
  <c r="B166" i="3"/>
  <c r="B164" i="3"/>
  <c r="C164" i="3"/>
  <c r="D164" i="3"/>
  <c r="E164" i="3"/>
  <c r="F164" i="3"/>
  <c r="G164" i="3"/>
  <c r="H164" i="3"/>
  <c r="I165" i="3" s="1"/>
  <c r="I164" i="3"/>
  <c r="C160" i="3"/>
  <c r="D160" i="3"/>
  <c r="E160" i="3"/>
  <c r="F160" i="3"/>
  <c r="G160" i="3"/>
  <c r="H160" i="3"/>
  <c r="I160" i="3"/>
  <c r="B160" i="3"/>
  <c r="C157" i="3"/>
  <c r="D157" i="3"/>
  <c r="E157" i="3"/>
  <c r="F157" i="3"/>
  <c r="G157" i="3"/>
  <c r="H157" i="3"/>
  <c r="I157" i="3"/>
  <c r="I159" i="3" s="1"/>
  <c r="J159" i="3" s="1"/>
  <c r="K159" i="3" s="1"/>
  <c r="L159" i="3" s="1"/>
  <c r="M159" i="3" s="1"/>
  <c r="N159" i="3" s="1"/>
  <c r="B157" i="3"/>
  <c r="C150" i="3"/>
  <c r="D150" i="3"/>
  <c r="E150" i="3"/>
  <c r="F150" i="3"/>
  <c r="G150" i="3"/>
  <c r="G147" i="3" s="1"/>
  <c r="G148" i="3" s="1"/>
  <c r="H150" i="3"/>
  <c r="I150" i="3"/>
  <c r="I151" i="3" s="1"/>
  <c r="B150" i="3"/>
  <c r="C141" i="3"/>
  <c r="D141" i="3"/>
  <c r="E141" i="3"/>
  <c r="F141" i="3"/>
  <c r="G141" i="3"/>
  <c r="H141" i="3"/>
  <c r="I141" i="3"/>
  <c r="I17" i="3" s="1"/>
  <c r="B141" i="3"/>
  <c r="C138" i="3"/>
  <c r="D138" i="3"/>
  <c r="E138" i="3"/>
  <c r="F138" i="3"/>
  <c r="G138" i="3"/>
  <c r="H138" i="3"/>
  <c r="I138" i="3"/>
  <c r="B138" i="3"/>
  <c r="C135" i="3"/>
  <c r="D135" i="3"/>
  <c r="E135" i="3"/>
  <c r="F135" i="3"/>
  <c r="G135" i="3"/>
  <c r="H135" i="3"/>
  <c r="I135" i="3"/>
  <c r="I136" i="3" s="1"/>
  <c r="B135" i="3"/>
  <c r="C131" i="3"/>
  <c r="D131" i="3"/>
  <c r="E131" i="3"/>
  <c r="F131" i="3"/>
  <c r="G131" i="3"/>
  <c r="H131" i="3"/>
  <c r="H134" i="3" s="1"/>
  <c r="I131" i="3"/>
  <c r="B131" i="3"/>
  <c r="C126" i="3"/>
  <c r="D126" i="3"/>
  <c r="E126" i="3"/>
  <c r="F126" i="3"/>
  <c r="G126" i="3"/>
  <c r="H126" i="3"/>
  <c r="I126" i="3"/>
  <c r="B126" i="3"/>
  <c r="B122" i="3"/>
  <c r="C122" i="3"/>
  <c r="D122" i="3"/>
  <c r="E122" i="3"/>
  <c r="F122" i="3"/>
  <c r="G122" i="3"/>
  <c r="H122" i="3"/>
  <c r="I122" i="3"/>
  <c r="C118" i="3"/>
  <c r="D118" i="3"/>
  <c r="E118" i="3"/>
  <c r="F118" i="3"/>
  <c r="G118" i="3"/>
  <c r="H118" i="3"/>
  <c r="I118" i="3"/>
  <c r="B118" i="3"/>
  <c r="C114" i="3"/>
  <c r="D114" i="3"/>
  <c r="E114" i="3"/>
  <c r="F114" i="3"/>
  <c r="G114" i="3"/>
  <c r="H114" i="3"/>
  <c r="H143" i="3" s="1"/>
  <c r="I114" i="3"/>
  <c r="C116" i="3"/>
  <c r="D116" i="3"/>
  <c r="E116" i="3"/>
  <c r="F116" i="3"/>
  <c r="G116" i="3"/>
  <c r="H116" i="3"/>
  <c r="I116" i="3"/>
  <c r="I117" i="3" s="1"/>
  <c r="I119" i="3" s="1"/>
  <c r="C120" i="3"/>
  <c r="D120" i="3"/>
  <c r="E120" i="3"/>
  <c r="F120" i="3"/>
  <c r="G120" i="3"/>
  <c r="H120" i="3"/>
  <c r="I120" i="3"/>
  <c r="C124" i="3"/>
  <c r="C125" i="3" s="1"/>
  <c r="C127" i="3" s="1"/>
  <c r="D124" i="3"/>
  <c r="E124" i="3"/>
  <c r="F124" i="3"/>
  <c r="G124" i="3"/>
  <c r="H124" i="3"/>
  <c r="I124" i="3"/>
  <c r="B124" i="3"/>
  <c r="B125" i="3" s="1"/>
  <c r="B127" i="3" s="1"/>
  <c r="B120" i="3"/>
  <c r="B121" i="3" s="1"/>
  <c r="B116" i="3"/>
  <c r="B114" i="3"/>
  <c r="C110" i="3"/>
  <c r="D110" i="3"/>
  <c r="E110" i="3"/>
  <c r="F110" i="3"/>
  <c r="G110" i="3"/>
  <c r="H110" i="3"/>
  <c r="B110" i="3"/>
  <c r="C107" i="3"/>
  <c r="D107" i="3"/>
  <c r="E107" i="3"/>
  <c r="F107" i="3"/>
  <c r="G107" i="3"/>
  <c r="H107" i="3"/>
  <c r="I107" i="3"/>
  <c r="I108" i="3" s="1"/>
  <c r="B107" i="3"/>
  <c r="C104" i="3"/>
  <c r="D104" i="3"/>
  <c r="E104" i="3"/>
  <c r="F104" i="3"/>
  <c r="G104" i="3"/>
  <c r="H104" i="3"/>
  <c r="I105" i="3" s="1"/>
  <c r="I104" i="3"/>
  <c r="B104" i="3"/>
  <c r="C100" i="3"/>
  <c r="D100" i="3"/>
  <c r="E100" i="3"/>
  <c r="F100" i="3"/>
  <c r="G100" i="3"/>
  <c r="H100" i="3"/>
  <c r="H103" i="3" s="1"/>
  <c r="I100" i="3"/>
  <c r="I102" i="3" s="1"/>
  <c r="B100" i="3"/>
  <c r="C87" i="3"/>
  <c r="D87" i="3"/>
  <c r="E87" i="3"/>
  <c r="F87" i="3"/>
  <c r="G87" i="3"/>
  <c r="H87" i="3"/>
  <c r="I87" i="3"/>
  <c r="C91" i="3"/>
  <c r="D91" i="3"/>
  <c r="E91" i="3"/>
  <c r="F91" i="3"/>
  <c r="G91" i="3"/>
  <c r="H91" i="3"/>
  <c r="C95" i="3"/>
  <c r="D95" i="3"/>
  <c r="E95" i="3"/>
  <c r="F95" i="3"/>
  <c r="G95" i="3"/>
  <c r="H95" i="3"/>
  <c r="B95" i="3"/>
  <c r="B91" i="3"/>
  <c r="B87" i="3"/>
  <c r="C85" i="3"/>
  <c r="D85" i="3"/>
  <c r="E85" i="3"/>
  <c r="F85" i="3"/>
  <c r="G85" i="3"/>
  <c r="H85" i="3"/>
  <c r="C89" i="3"/>
  <c r="D89" i="3"/>
  <c r="E90" i="3" s="1"/>
  <c r="E89" i="3"/>
  <c r="F89" i="3"/>
  <c r="G89" i="3"/>
  <c r="H89" i="3"/>
  <c r="C93" i="3"/>
  <c r="D93" i="3"/>
  <c r="E93" i="3"/>
  <c r="F93" i="3"/>
  <c r="G94" i="3" s="1"/>
  <c r="G93" i="3"/>
  <c r="H93" i="3"/>
  <c r="B93" i="3"/>
  <c r="B89" i="3"/>
  <c r="B85" i="3"/>
  <c r="B83" i="3"/>
  <c r="C79" i="3"/>
  <c r="D79" i="3"/>
  <c r="D80" i="3" s="1"/>
  <c r="E79" i="3"/>
  <c r="F79" i="3"/>
  <c r="G79" i="3"/>
  <c r="H79" i="3"/>
  <c r="I79" i="3"/>
  <c r="C76" i="3"/>
  <c r="D76" i="3"/>
  <c r="E76" i="3"/>
  <c r="E14" i="3" s="1"/>
  <c r="E52" i="4" s="1"/>
  <c r="F76" i="3"/>
  <c r="G76" i="3"/>
  <c r="H76" i="3"/>
  <c r="I76" i="3"/>
  <c r="B76" i="3"/>
  <c r="B79" i="3"/>
  <c r="C73" i="3"/>
  <c r="D73" i="3"/>
  <c r="D75" i="3" s="1"/>
  <c r="E73" i="3"/>
  <c r="F73" i="3"/>
  <c r="G73" i="3"/>
  <c r="H73" i="3"/>
  <c r="I73" i="3"/>
  <c r="I66" i="3" s="1"/>
  <c r="B73" i="3"/>
  <c r="C69" i="3"/>
  <c r="C72" i="3" s="1"/>
  <c r="D69" i="3"/>
  <c r="D70" i="3" s="1"/>
  <c r="E69" i="3"/>
  <c r="F69" i="3"/>
  <c r="G69" i="3"/>
  <c r="H69" i="3"/>
  <c r="I69" i="3"/>
  <c r="B69" i="3"/>
  <c r="C56" i="3"/>
  <c r="D56" i="3"/>
  <c r="E56" i="3"/>
  <c r="F56" i="3"/>
  <c r="G56" i="3"/>
  <c r="H56" i="3"/>
  <c r="I56" i="3"/>
  <c r="C60" i="3"/>
  <c r="D60" i="3"/>
  <c r="E60" i="3"/>
  <c r="F60" i="3"/>
  <c r="G60" i="3"/>
  <c r="H60" i="3"/>
  <c r="I60" i="3"/>
  <c r="C64" i="3"/>
  <c r="D64" i="3"/>
  <c r="E64" i="3"/>
  <c r="F64" i="3"/>
  <c r="G64" i="3"/>
  <c r="H64" i="3"/>
  <c r="I64" i="3"/>
  <c r="B64" i="3"/>
  <c r="B60" i="3"/>
  <c r="B56" i="3"/>
  <c r="C52" i="3"/>
  <c r="D52" i="3"/>
  <c r="D53" i="3" s="1"/>
  <c r="E52" i="3"/>
  <c r="F52" i="3"/>
  <c r="G52" i="3"/>
  <c r="H52" i="3"/>
  <c r="C54" i="3"/>
  <c r="D54" i="3"/>
  <c r="E54" i="3"/>
  <c r="F54" i="3"/>
  <c r="G54" i="3"/>
  <c r="H54" i="3"/>
  <c r="C58" i="3"/>
  <c r="D58" i="3"/>
  <c r="E58" i="3"/>
  <c r="F58" i="3"/>
  <c r="G58" i="3"/>
  <c r="H58" i="3"/>
  <c r="H59" i="3" s="1"/>
  <c r="H61" i="3" s="1"/>
  <c r="I58" i="3"/>
  <c r="C62" i="3"/>
  <c r="D62" i="3"/>
  <c r="E62" i="3"/>
  <c r="F62" i="3"/>
  <c r="G62" i="3"/>
  <c r="H62" i="3"/>
  <c r="I62" i="3"/>
  <c r="B62" i="3"/>
  <c r="B58" i="3"/>
  <c r="B54" i="3"/>
  <c r="B52" i="3"/>
  <c r="C48" i="3"/>
  <c r="D48" i="3"/>
  <c r="E48" i="3"/>
  <c r="F48" i="3"/>
  <c r="G49" i="3" s="1"/>
  <c r="G48" i="3"/>
  <c r="H48" i="3"/>
  <c r="I48" i="3"/>
  <c r="B48" i="3"/>
  <c r="C45" i="3"/>
  <c r="D45" i="3"/>
  <c r="E45" i="3"/>
  <c r="F45" i="3"/>
  <c r="F47" i="3" s="1"/>
  <c r="G45" i="3"/>
  <c r="H45" i="3"/>
  <c r="I45" i="3"/>
  <c r="B45" i="3"/>
  <c r="C42" i="3"/>
  <c r="D42" i="3"/>
  <c r="E42" i="3"/>
  <c r="F42" i="3"/>
  <c r="F11" i="3" s="1"/>
  <c r="F7" i="4" s="1"/>
  <c r="G42" i="3"/>
  <c r="H42" i="3"/>
  <c r="I42" i="3"/>
  <c r="I35" i="3" s="1"/>
  <c r="B42" i="3"/>
  <c r="C38" i="3"/>
  <c r="D38" i="3"/>
  <c r="E38" i="3"/>
  <c r="E40" i="3" s="1"/>
  <c r="F38" i="3"/>
  <c r="F40" i="3" s="1"/>
  <c r="G38" i="3"/>
  <c r="H38" i="3"/>
  <c r="I38" i="3"/>
  <c r="B38" i="3"/>
  <c r="C33" i="3"/>
  <c r="D33" i="3"/>
  <c r="E33" i="3"/>
  <c r="F33" i="3"/>
  <c r="G33" i="3"/>
  <c r="H33" i="3"/>
  <c r="I33" i="3"/>
  <c r="B33" i="3"/>
  <c r="C29" i="3"/>
  <c r="D29" i="3"/>
  <c r="E29" i="3"/>
  <c r="F29" i="3"/>
  <c r="G29" i="3"/>
  <c r="H29" i="3"/>
  <c r="I29" i="3"/>
  <c r="B29" i="3"/>
  <c r="C28" i="3"/>
  <c r="D28" i="3"/>
  <c r="E28" i="3"/>
  <c r="E30" i="3" s="1"/>
  <c r="F28" i="3"/>
  <c r="I28" i="3"/>
  <c r="C27" i="3"/>
  <c r="D27" i="3"/>
  <c r="E27" i="3"/>
  <c r="F27" i="3"/>
  <c r="G27" i="3"/>
  <c r="G28" i="3" s="1"/>
  <c r="H27" i="3"/>
  <c r="H28" i="3" s="1"/>
  <c r="H30" i="3" s="1"/>
  <c r="I27" i="3"/>
  <c r="C31" i="3"/>
  <c r="D31" i="3"/>
  <c r="E31" i="3"/>
  <c r="F31" i="3"/>
  <c r="G31" i="3"/>
  <c r="H31" i="3"/>
  <c r="I31" i="3"/>
  <c r="B31" i="3"/>
  <c r="B27" i="3"/>
  <c r="B23" i="3"/>
  <c r="C21" i="3"/>
  <c r="D21" i="3"/>
  <c r="D50" i="3" s="1"/>
  <c r="E21" i="3"/>
  <c r="F21" i="3"/>
  <c r="F3" i="3" s="1"/>
  <c r="G21" i="3"/>
  <c r="H21" i="3"/>
  <c r="I21" i="3"/>
  <c r="C23" i="3"/>
  <c r="D23" i="3"/>
  <c r="E23" i="3"/>
  <c r="F23" i="3"/>
  <c r="G23" i="3"/>
  <c r="H23" i="3"/>
  <c r="I23" i="3"/>
  <c r="B25" i="3"/>
  <c r="B21" i="3"/>
  <c r="B44" i="3"/>
  <c r="K64" i="1"/>
  <c r="L64" i="1" s="1"/>
  <c r="M64" i="1" s="1"/>
  <c r="N64" i="1" s="1"/>
  <c r="K65" i="1"/>
  <c r="L65" i="1" s="1"/>
  <c r="M65" i="1" s="1"/>
  <c r="N65" i="1" s="1"/>
  <c r="K66" i="1"/>
  <c r="L66" i="1" s="1"/>
  <c r="M66" i="1" s="1"/>
  <c r="N66" i="1" s="1"/>
  <c r="K67" i="1"/>
  <c r="L67" i="1" s="1"/>
  <c r="M67" i="1" s="1"/>
  <c r="N67" i="1" s="1"/>
  <c r="K68" i="1"/>
  <c r="L68" i="1" s="1"/>
  <c r="M68" i="1" s="1"/>
  <c r="N68" i="1" s="1"/>
  <c r="K69" i="1"/>
  <c r="L69" i="1" s="1"/>
  <c r="M69" i="1" s="1"/>
  <c r="N69" i="1" s="1"/>
  <c r="K70" i="1"/>
  <c r="L70" i="1" s="1"/>
  <c r="M70" i="1" s="1"/>
  <c r="N70" i="1" s="1"/>
  <c r="K71" i="1"/>
  <c r="L71" i="1" s="1"/>
  <c r="M71" i="1" s="1"/>
  <c r="N71" i="1" s="1"/>
  <c r="K72" i="1"/>
  <c r="L72" i="1" s="1"/>
  <c r="M72" i="1" s="1"/>
  <c r="N72" i="1" s="1"/>
  <c r="K73" i="1"/>
  <c r="L73" i="1" s="1"/>
  <c r="M73" i="1" s="1"/>
  <c r="N73" i="1" s="1"/>
  <c r="K74" i="1"/>
  <c r="L74" i="1" s="1"/>
  <c r="M74" i="1" s="1"/>
  <c r="N74" i="1" s="1"/>
  <c r="K75" i="1"/>
  <c r="L75" i="1" s="1"/>
  <c r="M75" i="1" s="1"/>
  <c r="N75" i="1" s="1"/>
  <c r="K76" i="1"/>
  <c r="L76" i="1" s="1"/>
  <c r="M76" i="1" s="1"/>
  <c r="N76" i="1" s="1"/>
  <c r="K77" i="1"/>
  <c r="L77" i="1" s="1"/>
  <c r="M77" i="1" s="1"/>
  <c r="N77" i="1" s="1"/>
  <c r="K78" i="1"/>
  <c r="L78" i="1" s="1"/>
  <c r="M78" i="1" s="1"/>
  <c r="N78" i="1" s="1"/>
  <c r="K79" i="1"/>
  <c r="L79" i="1" s="1"/>
  <c r="M79" i="1" s="1"/>
  <c r="N79" i="1" s="1"/>
  <c r="K80" i="1"/>
  <c r="L80" i="1" s="1"/>
  <c r="M80" i="1" s="1"/>
  <c r="N80" i="1" s="1"/>
  <c r="K81" i="1"/>
  <c r="L81" i="1" s="1"/>
  <c r="M81" i="1" s="1"/>
  <c r="N81" i="1" s="1"/>
  <c r="K82" i="1"/>
  <c r="L82" i="1" s="1"/>
  <c r="M82" i="1" s="1"/>
  <c r="N82" i="1" s="1"/>
  <c r="K83" i="1"/>
  <c r="L83" i="1" s="1"/>
  <c r="M83" i="1" s="1"/>
  <c r="N83" i="1" s="1"/>
  <c r="K84" i="1"/>
  <c r="L84" i="1" s="1"/>
  <c r="M84" i="1" s="1"/>
  <c r="N84" i="1" s="1"/>
  <c r="K85" i="1"/>
  <c r="L85" i="1" s="1"/>
  <c r="M85" i="1" s="1"/>
  <c r="N85" i="1" s="1"/>
  <c r="K86" i="1"/>
  <c r="L86" i="1" s="1"/>
  <c r="M86" i="1" s="1"/>
  <c r="N86" i="1" s="1"/>
  <c r="K87" i="1"/>
  <c r="L87" i="1"/>
  <c r="M87" i="1" s="1"/>
  <c r="N87" i="1" s="1"/>
  <c r="K88" i="1"/>
  <c r="L88" i="1" s="1"/>
  <c r="M88" i="1" s="1"/>
  <c r="N88" i="1" s="1"/>
  <c r="K89" i="1"/>
  <c r="L89" i="1"/>
  <c r="M89" i="1" s="1"/>
  <c r="N89" i="1" s="1"/>
  <c r="K90" i="1"/>
  <c r="L90" i="1" s="1"/>
  <c r="M90" i="1" s="1"/>
  <c r="N90" i="1" s="1"/>
  <c r="K91" i="1"/>
  <c r="L91" i="1"/>
  <c r="M91" i="1" s="1"/>
  <c r="N91" i="1" s="1"/>
  <c r="K92" i="1"/>
  <c r="L92" i="1" s="1"/>
  <c r="M92" i="1" s="1"/>
  <c r="N92" i="1" s="1"/>
  <c r="K93" i="1"/>
  <c r="L93" i="1"/>
  <c r="M93" i="1" s="1"/>
  <c r="N93" i="1" s="1"/>
  <c r="K94" i="1"/>
  <c r="L94" i="1" s="1"/>
  <c r="K95" i="1"/>
  <c r="L95" i="1"/>
  <c r="M95" i="1" s="1"/>
  <c r="N95" i="1" s="1"/>
  <c r="K96" i="1"/>
  <c r="L96" i="1" s="1"/>
  <c r="M96" i="1" s="1"/>
  <c r="N96" i="1" s="1"/>
  <c r="K97" i="1"/>
  <c r="L97" i="1"/>
  <c r="M97" i="1" s="1"/>
  <c r="N97" i="1" s="1"/>
  <c r="K98" i="1"/>
  <c r="L98" i="1" s="1"/>
  <c r="M98" i="1" s="1"/>
  <c r="N98" i="1" s="1"/>
  <c r="K99" i="1"/>
  <c r="L99" i="1"/>
  <c r="M99" i="1" s="1"/>
  <c r="N99" i="1" s="1"/>
  <c r="K100" i="1"/>
  <c r="L100" i="1"/>
  <c r="M100" i="1"/>
  <c r="N100" i="1" s="1"/>
  <c r="K101" i="1"/>
  <c r="L101" i="1" s="1"/>
  <c r="M101" i="1" s="1"/>
  <c r="N101" i="1" s="1"/>
  <c r="K102" i="1"/>
  <c r="L102" i="1"/>
  <c r="M102" i="1"/>
  <c r="N102" i="1" s="1"/>
  <c r="K103" i="1"/>
  <c r="L103" i="1" s="1"/>
  <c r="M103" i="1" s="1"/>
  <c r="N103" i="1" s="1"/>
  <c r="K104" i="1"/>
  <c r="L104" i="1"/>
  <c r="M104" i="1"/>
  <c r="N104" i="1" s="1"/>
  <c r="K105" i="1"/>
  <c r="L105" i="1" s="1"/>
  <c r="M105" i="1" s="1"/>
  <c r="N105" i="1" s="1"/>
  <c r="K106" i="1"/>
  <c r="L106" i="1"/>
  <c r="M106" i="1"/>
  <c r="N106" i="1" s="1"/>
  <c r="K107" i="1"/>
  <c r="L107" i="1" s="1"/>
  <c r="M107" i="1" s="1"/>
  <c r="N107" i="1" s="1"/>
  <c r="J101" i="1"/>
  <c r="J102" i="1"/>
  <c r="J103" i="1"/>
  <c r="J104" i="1"/>
  <c r="J105" i="1"/>
  <c r="J106" i="1"/>
  <c r="J107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64" i="1"/>
  <c r="J59" i="1"/>
  <c r="K59" i="1"/>
  <c r="L59" i="1"/>
  <c r="M59" i="1"/>
  <c r="N59" i="1"/>
  <c r="J58" i="1"/>
  <c r="K58" i="1"/>
  <c r="L58" i="1"/>
  <c r="M58" i="1"/>
  <c r="N58" i="1"/>
  <c r="J45" i="1"/>
  <c r="K45" i="1"/>
  <c r="L45" i="1"/>
  <c r="M45" i="1"/>
  <c r="N45" i="1"/>
  <c r="J36" i="1"/>
  <c r="K36" i="1"/>
  <c r="L36" i="1"/>
  <c r="M36" i="1"/>
  <c r="N36" i="1"/>
  <c r="J30" i="1"/>
  <c r="K30" i="1"/>
  <c r="L30" i="1"/>
  <c r="M30" i="1"/>
  <c r="N30" i="1"/>
  <c r="J12" i="1"/>
  <c r="K12" i="1"/>
  <c r="L12" i="1"/>
  <c r="M12" i="1"/>
  <c r="N12" i="1"/>
  <c r="K10" i="1"/>
  <c r="L10" i="1"/>
  <c r="M10" i="1"/>
  <c r="N10" i="1"/>
  <c r="J7" i="1"/>
  <c r="K7" i="1"/>
  <c r="L7" i="1"/>
  <c r="M7" i="1"/>
  <c r="N7" i="1"/>
  <c r="J4" i="1"/>
  <c r="K4" i="1"/>
  <c r="L4" i="1"/>
  <c r="M4" i="1"/>
  <c r="N4" i="1"/>
  <c r="K145" i="3"/>
  <c r="L145" i="3" s="1"/>
  <c r="M145" i="3" s="1"/>
  <c r="N145" i="3" s="1"/>
  <c r="C145" i="3"/>
  <c r="D145" i="3"/>
  <c r="D3" i="3" s="1"/>
  <c r="E145" i="3"/>
  <c r="F145" i="3"/>
  <c r="G145" i="3"/>
  <c r="H145" i="3"/>
  <c r="I145" i="3"/>
  <c r="B145" i="3"/>
  <c r="B146" i="3" s="1"/>
  <c r="C154" i="3"/>
  <c r="D154" i="3"/>
  <c r="E154" i="3"/>
  <c r="F154" i="3"/>
  <c r="G154" i="3"/>
  <c r="H154" i="3"/>
  <c r="I154" i="3"/>
  <c r="B154" i="3"/>
  <c r="B147" i="3" s="1"/>
  <c r="B149" i="3" s="1"/>
  <c r="J90" i="3"/>
  <c r="J125" i="3"/>
  <c r="J24" i="3"/>
  <c r="J23" i="3" s="1"/>
  <c r="C59" i="4"/>
  <c r="D59" i="4"/>
  <c r="E59" i="4"/>
  <c r="F59" i="4"/>
  <c r="G59" i="4"/>
  <c r="H59" i="4"/>
  <c r="H60" i="4" s="1"/>
  <c r="I59" i="4"/>
  <c r="J59" i="4" s="1"/>
  <c r="C57" i="4"/>
  <c r="C58" i="4" s="1"/>
  <c r="D57" i="4"/>
  <c r="E57" i="4"/>
  <c r="F57" i="4"/>
  <c r="G57" i="4"/>
  <c r="H57" i="4"/>
  <c r="I57" i="4"/>
  <c r="C50" i="4"/>
  <c r="D50" i="4"/>
  <c r="E50" i="4"/>
  <c r="F50" i="4"/>
  <c r="G50" i="4"/>
  <c r="H50" i="4"/>
  <c r="I50" i="4"/>
  <c r="C48" i="4"/>
  <c r="D48" i="4"/>
  <c r="E48" i="4"/>
  <c r="F48" i="4"/>
  <c r="G48" i="4"/>
  <c r="H48" i="4"/>
  <c r="I48" i="4"/>
  <c r="C42" i="4"/>
  <c r="D42" i="4"/>
  <c r="E42" i="4"/>
  <c r="F42" i="4"/>
  <c r="G42" i="4"/>
  <c r="H42" i="4"/>
  <c r="I42" i="4"/>
  <c r="J42" i="4" s="1"/>
  <c r="K42" i="4" s="1"/>
  <c r="L42" i="4" s="1"/>
  <c r="M42" i="4" s="1"/>
  <c r="N42" i="4" s="1"/>
  <c r="C41" i="4"/>
  <c r="D41" i="4"/>
  <c r="E41" i="4"/>
  <c r="F41" i="4"/>
  <c r="G41" i="4"/>
  <c r="H41" i="4"/>
  <c r="C40" i="4"/>
  <c r="D40" i="4"/>
  <c r="E40" i="4"/>
  <c r="F40" i="4"/>
  <c r="G40" i="4"/>
  <c r="H40" i="4"/>
  <c r="I40" i="4"/>
  <c r="C38" i="4"/>
  <c r="D38" i="4"/>
  <c r="E38" i="4"/>
  <c r="F38" i="4"/>
  <c r="G38" i="4"/>
  <c r="H38" i="4"/>
  <c r="I38" i="4"/>
  <c r="J38" i="4" s="1"/>
  <c r="K38" i="4" s="1"/>
  <c r="L38" i="4" s="1"/>
  <c r="M38" i="4" s="1"/>
  <c r="N38" i="4" s="1"/>
  <c r="C37" i="4"/>
  <c r="D37" i="4"/>
  <c r="E37" i="4"/>
  <c r="F37" i="4"/>
  <c r="G37" i="4"/>
  <c r="H37" i="4"/>
  <c r="I37" i="4"/>
  <c r="J37" i="4" s="1"/>
  <c r="K37" i="4" s="1"/>
  <c r="L37" i="4" s="1"/>
  <c r="M37" i="4" s="1"/>
  <c r="N37" i="4" s="1"/>
  <c r="C36" i="4"/>
  <c r="D36" i="4"/>
  <c r="E36" i="4"/>
  <c r="F36" i="4"/>
  <c r="G36" i="4"/>
  <c r="H36" i="4"/>
  <c r="I36" i="4"/>
  <c r="J36" i="4" s="1"/>
  <c r="K36" i="4" s="1"/>
  <c r="L36" i="4" s="1"/>
  <c r="M36" i="4" s="1"/>
  <c r="N36" i="4" s="1"/>
  <c r="C35" i="4"/>
  <c r="D35" i="4"/>
  <c r="E35" i="4"/>
  <c r="F35" i="4"/>
  <c r="G35" i="4"/>
  <c r="H35" i="4"/>
  <c r="I35" i="4"/>
  <c r="J35" i="4" s="1"/>
  <c r="K35" i="4" s="1"/>
  <c r="L35" i="4" s="1"/>
  <c r="M35" i="4" s="1"/>
  <c r="N35" i="4" s="1"/>
  <c r="C34" i="4"/>
  <c r="D34" i="4"/>
  <c r="E34" i="4"/>
  <c r="F34" i="4"/>
  <c r="G34" i="4"/>
  <c r="H34" i="4"/>
  <c r="I34" i="4"/>
  <c r="J34" i="4" s="1"/>
  <c r="K34" i="4" s="1"/>
  <c r="L34" i="4" s="1"/>
  <c r="M34" i="4" s="1"/>
  <c r="N34" i="4" s="1"/>
  <c r="C33" i="4"/>
  <c r="D33" i="4"/>
  <c r="E33" i="4"/>
  <c r="F33" i="4"/>
  <c r="G33" i="4"/>
  <c r="H33" i="4"/>
  <c r="I33" i="4"/>
  <c r="J33" i="4" s="1"/>
  <c r="C30" i="4"/>
  <c r="D30" i="4"/>
  <c r="E30" i="4"/>
  <c r="F30" i="4"/>
  <c r="G30" i="4"/>
  <c r="H30" i="4"/>
  <c r="I30" i="4"/>
  <c r="J30" i="4" s="1"/>
  <c r="K30" i="4" s="1"/>
  <c r="L30" i="4" s="1"/>
  <c r="M30" i="4" s="1"/>
  <c r="N30" i="4" s="1"/>
  <c r="C29" i="4"/>
  <c r="D29" i="4"/>
  <c r="E29" i="4"/>
  <c r="F29" i="4"/>
  <c r="G29" i="4"/>
  <c r="H29" i="4"/>
  <c r="I29" i="4"/>
  <c r="J29" i="4" s="1"/>
  <c r="K29" i="4" s="1"/>
  <c r="L29" i="4" s="1"/>
  <c r="M29" i="4" s="1"/>
  <c r="N29" i="4" s="1"/>
  <c r="C28" i="4"/>
  <c r="D28" i="4"/>
  <c r="E28" i="4"/>
  <c r="F28" i="4"/>
  <c r="G28" i="4"/>
  <c r="H28" i="4"/>
  <c r="I28" i="4"/>
  <c r="J28" i="4" s="1"/>
  <c r="K28" i="4" s="1"/>
  <c r="L28" i="4" s="1"/>
  <c r="M28" i="4" s="1"/>
  <c r="N28" i="4" s="1"/>
  <c r="C27" i="4"/>
  <c r="D27" i="4"/>
  <c r="E27" i="4"/>
  <c r="F27" i="4"/>
  <c r="G27" i="4"/>
  <c r="H27" i="4"/>
  <c r="I27" i="4"/>
  <c r="J27" i="4" s="1"/>
  <c r="K27" i="4" s="1"/>
  <c r="L27" i="4" s="1"/>
  <c r="M27" i="4" s="1"/>
  <c r="N27" i="4" s="1"/>
  <c r="C26" i="4"/>
  <c r="D26" i="4"/>
  <c r="E26" i="4"/>
  <c r="F26" i="4"/>
  <c r="G26" i="4"/>
  <c r="H26" i="4"/>
  <c r="I26" i="4"/>
  <c r="C25" i="4"/>
  <c r="D25" i="4"/>
  <c r="E25" i="4"/>
  <c r="F25" i="4"/>
  <c r="G25" i="4"/>
  <c r="H25" i="4"/>
  <c r="I25" i="4"/>
  <c r="J25" i="4" s="1"/>
  <c r="K25" i="4" s="1"/>
  <c r="L25" i="4" s="1"/>
  <c r="M25" i="4" s="1"/>
  <c r="N25" i="4" s="1"/>
  <c r="C23" i="4"/>
  <c r="D23" i="4"/>
  <c r="E23" i="4"/>
  <c r="F23" i="4"/>
  <c r="G23" i="4"/>
  <c r="H23" i="4"/>
  <c r="C22" i="4"/>
  <c r="D22" i="4"/>
  <c r="E22" i="4"/>
  <c r="F22" i="4"/>
  <c r="G22" i="4"/>
  <c r="H22" i="4"/>
  <c r="I22" i="4"/>
  <c r="J22" i="4" s="1"/>
  <c r="K22" i="4" s="1"/>
  <c r="L22" i="4" s="1"/>
  <c r="M22" i="4" s="1"/>
  <c r="N22" i="4" s="1"/>
  <c r="C21" i="4"/>
  <c r="D21" i="4"/>
  <c r="E21" i="4"/>
  <c r="F21" i="4"/>
  <c r="G21" i="4"/>
  <c r="H21" i="4"/>
  <c r="I21" i="4"/>
  <c r="C17" i="4"/>
  <c r="D17" i="4"/>
  <c r="E17" i="4"/>
  <c r="F17" i="4"/>
  <c r="G17" i="4"/>
  <c r="G18" i="4" s="1"/>
  <c r="H17" i="4"/>
  <c r="H18" i="4" s="1"/>
  <c r="I17" i="4"/>
  <c r="C15" i="4"/>
  <c r="D15" i="4"/>
  <c r="E15" i="4"/>
  <c r="F15" i="4"/>
  <c r="G15" i="4"/>
  <c r="H15" i="4"/>
  <c r="I15" i="4"/>
  <c r="C14" i="4"/>
  <c r="D14" i="4"/>
  <c r="E14" i="4"/>
  <c r="F14" i="4"/>
  <c r="G14" i="4"/>
  <c r="H14" i="4"/>
  <c r="I14" i="4"/>
  <c r="C12" i="4"/>
  <c r="D12" i="4"/>
  <c r="E12" i="4"/>
  <c r="F12" i="4"/>
  <c r="G12" i="4"/>
  <c r="H12" i="4"/>
  <c r="I12" i="4"/>
  <c r="C11" i="4"/>
  <c r="D11" i="4"/>
  <c r="E11" i="4"/>
  <c r="F11" i="4"/>
  <c r="G11" i="4"/>
  <c r="H11" i="4"/>
  <c r="I11" i="4"/>
  <c r="C10" i="4"/>
  <c r="D10" i="4"/>
  <c r="E10" i="4"/>
  <c r="F10" i="4"/>
  <c r="G10" i="4"/>
  <c r="H10" i="4"/>
  <c r="I10" i="4"/>
  <c r="C61" i="4"/>
  <c r="D61" i="4"/>
  <c r="E61" i="4"/>
  <c r="F61" i="4"/>
  <c r="G61" i="4"/>
  <c r="H61" i="4"/>
  <c r="I61" i="4"/>
  <c r="C62" i="4"/>
  <c r="D62" i="4"/>
  <c r="E62" i="4"/>
  <c r="F62" i="4"/>
  <c r="C63" i="4"/>
  <c r="D63" i="4"/>
  <c r="E63" i="4"/>
  <c r="F63" i="4"/>
  <c r="G63" i="4"/>
  <c r="H63" i="4"/>
  <c r="C65" i="4"/>
  <c r="D65" i="4"/>
  <c r="E65" i="4"/>
  <c r="F65" i="4"/>
  <c r="G65" i="4"/>
  <c r="H65" i="4"/>
  <c r="B68" i="4"/>
  <c r="B67" i="4"/>
  <c r="B65" i="4"/>
  <c r="B63" i="4"/>
  <c r="B62" i="4"/>
  <c r="B61" i="4"/>
  <c r="F60" i="4"/>
  <c r="B59" i="4"/>
  <c r="B57" i="4"/>
  <c r="B50" i="4"/>
  <c r="B48" i="4"/>
  <c r="B42" i="4"/>
  <c r="B41" i="4"/>
  <c r="B40" i="4"/>
  <c r="B38" i="4"/>
  <c r="B37" i="4"/>
  <c r="B36" i="4"/>
  <c r="B35" i="4"/>
  <c r="B34" i="4"/>
  <c r="B33" i="4"/>
  <c r="B30" i="4"/>
  <c r="B29" i="4"/>
  <c r="B28" i="4"/>
  <c r="B27" i="4"/>
  <c r="B26" i="4"/>
  <c r="B25" i="4"/>
  <c r="B23" i="4"/>
  <c r="B22" i="4"/>
  <c r="B21" i="4"/>
  <c r="B17" i="4"/>
  <c r="B15" i="4"/>
  <c r="B14" i="4"/>
  <c r="B12" i="4"/>
  <c r="B11" i="4"/>
  <c r="B10" i="4"/>
  <c r="H216" i="3"/>
  <c r="H215" i="3"/>
  <c r="G215" i="3"/>
  <c r="D215" i="3"/>
  <c r="I215" i="3"/>
  <c r="C215" i="3"/>
  <c r="B215" i="3"/>
  <c r="I213" i="3"/>
  <c r="J213" i="3" s="1"/>
  <c r="K213" i="3" s="1"/>
  <c r="L213" i="3" s="1"/>
  <c r="M213" i="3" s="1"/>
  <c r="N213" i="3" s="1"/>
  <c r="E212" i="3"/>
  <c r="C212" i="3"/>
  <c r="B212" i="3"/>
  <c r="I212" i="3"/>
  <c r="H212" i="3"/>
  <c r="D213" i="3"/>
  <c r="D209" i="3"/>
  <c r="B209" i="3"/>
  <c r="H209" i="3"/>
  <c r="G207" i="3"/>
  <c r="D207" i="3"/>
  <c r="I205" i="3"/>
  <c r="H205" i="3"/>
  <c r="I207" i="3"/>
  <c r="J207" i="3" s="1"/>
  <c r="K207" i="3" s="1"/>
  <c r="H207" i="3"/>
  <c r="D205" i="3"/>
  <c r="B201" i="3"/>
  <c r="D201" i="3"/>
  <c r="D203" i="3" s="1"/>
  <c r="I200" i="3"/>
  <c r="B200" i="3"/>
  <c r="J199" i="3"/>
  <c r="J200" i="3" s="1"/>
  <c r="H200" i="3"/>
  <c r="D200" i="3"/>
  <c r="D197" i="3"/>
  <c r="E196" i="3"/>
  <c r="C194" i="3"/>
  <c r="H193" i="3"/>
  <c r="C190" i="3"/>
  <c r="B190" i="3"/>
  <c r="I188" i="3"/>
  <c r="J188" i="3" s="1"/>
  <c r="G182" i="3"/>
  <c r="F182" i="3"/>
  <c r="C182" i="3"/>
  <c r="L181" i="3"/>
  <c r="M181" i="3" s="1"/>
  <c r="N181" i="3" s="1"/>
  <c r="K181" i="3"/>
  <c r="K180" i="3"/>
  <c r="K179" i="3" s="1"/>
  <c r="D179" i="3"/>
  <c r="D181" i="3" s="1"/>
  <c r="C179" i="3"/>
  <c r="C181" i="3" s="1"/>
  <c r="B179" i="3"/>
  <c r="B181" i="3" s="1"/>
  <c r="H179" i="3"/>
  <c r="N177" i="3"/>
  <c r="M177" i="3"/>
  <c r="K177" i="3"/>
  <c r="L177" i="3" s="1"/>
  <c r="K176" i="3"/>
  <c r="L176" i="3" s="1"/>
  <c r="J175" i="3"/>
  <c r="J174" i="3" s="1"/>
  <c r="E175" i="3"/>
  <c r="C175" i="3"/>
  <c r="C177" i="3" s="1"/>
  <c r="B175" i="3"/>
  <c r="B177" i="3" s="1"/>
  <c r="D175" i="3"/>
  <c r="D177" i="3" s="1"/>
  <c r="M173" i="3"/>
  <c r="N173" i="3" s="1"/>
  <c r="L173" i="3"/>
  <c r="K173" i="3"/>
  <c r="K172" i="3"/>
  <c r="J171" i="3"/>
  <c r="G171" i="3"/>
  <c r="G173" i="3" s="1"/>
  <c r="F171" i="3"/>
  <c r="F173" i="3" s="1"/>
  <c r="B171" i="3"/>
  <c r="K169" i="3"/>
  <c r="L169" i="3" s="1"/>
  <c r="M169" i="3" s="1"/>
  <c r="N169" i="3" s="1"/>
  <c r="K168" i="3"/>
  <c r="J167" i="3"/>
  <c r="B167" i="3"/>
  <c r="H167" i="3"/>
  <c r="H169" i="3" s="1"/>
  <c r="F167" i="3"/>
  <c r="F169" i="3" s="1"/>
  <c r="E167" i="3"/>
  <c r="E169" i="3" s="1"/>
  <c r="C167" i="3"/>
  <c r="C169" i="3" s="1"/>
  <c r="D165" i="3"/>
  <c r="C165" i="3"/>
  <c r="B165" i="3"/>
  <c r="E165" i="3"/>
  <c r="F162" i="3"/>
  <c r="E162" i="3"/>
  <c r="C161" i="3"/>
  <c r="B161" i="3"/>
  <c r="H158" i="3"/>
  <c r="E159" i="3"/>
  <c r="B158" i="3"/>
  <c r="H155" i="3"/>
  <c r="G155" i="3"/>
  <c r="F155" i="3"/>
  <c r="E155" i="3"/>
  <c r="F156" i="3"/>
  <c r="B153" i="3"/>
  <c r="D151" i="3"/>
  <c r="C151" i="3"/>
  <c r="B151" i="3"/>
  <c r="C153" i="3"/>
  <c r="F147" i="3"/>
  <c r="F149" i="3" s="1"/>
  <c r="D147" i="3"/>
  <c r="F146" i="3"/>
  <c r="C162" i="3"/>
  <c r="E143" i="3"/>
  <c r="D143" i="3"/>
  <c r="C143" i="3"/>
  <c r="E142" i="3"/>
  <c r="D142" i="3"/>
  <c r="C142" i="3"/>
  <c r="D140" i="3"/>
  <c r="C140" i="3"/>
  <c r="B140" i="3"/>
  <c r="C139" i="3"/>
  <c r="B139" i="3"/>
  <c r="I137" i="3"/>
  <c r="D137" i="3"/>
  <c r="C137" i="3"/>
  <c r="B136" i="3"/>
  <c r="D134" i="3"/>
  <c r="C134" i="3"/>
  <c r="B134" i="3"/>
  <c r="E132" i="3"/>
  <c r="D132" i="3"/>
  <c r="C132" i="3"/>
  <c r="B132" i="3"/>
  <c r="E134" i="3"/>
  <c r="E128" i="3"/>
  <c r="B128" i="3"/>
  <c r="B130" i="3" s="1"/>
  <c r="K127" i="3"/>
  <c r="L127" i="3" s="1"/>
  <c r="M127" i="3" s="1"/>
  <c r="K126" i="3"/>
  <c r="L126" i="3" s="1"/>
  <c r="M126" i="3" s="1"/>
  <c r="N126" i="3" s="1"/>
  <c r="K125" i="3"/>
  <c r="F125" i="3"/>
  <c r="H125" i="3"/>
  <c r="G125" i="3"/>
  <c r="M123" i="3"/>
  <c r="N123" i="3" s="1"/>
  <c r="L123" i="3"/>
  <c r="K123" i="3"/>
  <c r="K122" i="3"/>
  <c r="J121" i="3"/>
  <c r="H121" i="3"/>
  <c r="H123" i="3" s="1"/>
  <c r="G121" i="3"/>
  <c r="F121" i="3"/>
  <c r="F123" i="3" s="1"/>
  <c r="E121" i="3"/>
  <c r="E123" i="3" s="1"/>
  <c r="D121" i="3"/>
  <c r="D123" i="3" s="1"/>
  <c r="K119" i="3"/>
  <c r="K118" i="3"/>
  <c r="L118" i="3" s="1"/>
  <c r="J117" i="3"/>
  <c r="H117" i="3"/>
  <c r="G117" i="3"/>
  <c r="G119" i="3" s="1"/>
  <c r="B117" i="3"/>
  <c r="B119" i="3" s="1"/>
  <c r="F117" i="3"/>
  <c r="F119" i="3" s="1"/>
  <c r="E117" i="3"/>
  <c r="C117" i="3"/>
  <c r="C119" i="3" s="1"/>
  <c r="E115" i="3"/>
  <c r="D115" i="3"/>
  <c r="C115" i="3"/>
  <c r="G115" i="3"/>
  <c r="F115" i="3"/>
  <c r="B115" i="3"/>
  <c r="D112" i="3"/>
  <c r="C112" i="3"/>
  <c r="D111" i="3"/>
  <c r="C111" i="3"/>
  <c r="B111" i="3"/>
  <c r="G112" i="3"/>
  <c r="D109" i="3"/>
  <c r="C109" i="3"/>
  <c r="B108" i="3"/>
  <c r="D108" i="3"/>
  <c r="I106" i="3"/>
  <c r="H105" i="3"/>
  <c r="C105" i="3"/>
  <c r="B105" i="3"/>
  <c r="D103" i="3"/>
  <c r="B103" i="3"/>
  <c r="F101" i="3"/>
  <c r="E101" i="3"/>
  <c r="D101" i="3"/>
  <c r="C101" i="3"/>
  <c r="B101" i="3"/>
  <c r="F103" i="3"/>
  <c r="C102" i="3"/>
  <c r="G97" i="3"/>
  <c r="F97" i="3"/>
  <c r="B97" i="3"/>
  <c r="B98" i="3" s="1"/>
  <c r="M96" i="3"/>
  <c r="N96" i="3" s="1"/>
  <c r="L96" i="3"/>
  <c r="K96" i="3"/>
  <c r="K95" i="3"/>
  <c r="L95" i="3" s="1"/>
  <c r="M95" i="3" s="1"/>
  <c r="N95" i="3" s="1"/>
  <c r="J94" i="3"/>
  <c r="J93" i="3" s="1"/>
  <c r="E94" i="3"/>
  <c r="E96" i="3" s="1"/>
  <c r="D94" i="3"/>
  <c r="D96" i="3" s="1"/>
  <c r="I94" i="3"/>
  <c r="I96" i="3" s="1"/>
  <c r="H94" i="3"/>
  <c r="B94" i="3"/>
  <c r="B96" i="3" s="1"/>
  <c r="N92" i="3"/>
  <c r="M92" i="3"/>
  <c r="K92" i="3"/>
  <c r="L92" i="3" s="1"/>
  <c r="H92" i="3"/>
  <c r="K91" i="3"/>
  <c r="J89" i="3"/>
  <c r="I90" i="3"/>
  <c r="I92" i="3" s="1"/>
  <c r="H90" i="3"/>
  <c r="F90" i="3"/>
  <c r="F92" i="3" s="1"/>
  <c r="G90" i="3"/>
  <c r="G92" i="3" s="1"/>
  <c r="B90" i="3"/>
  <c r="K88" i="3"/>
  <c r="L88" i="3" s="1"/>
  <c r="M88" i="3" s="1"/>
  <c r="N88" i="3" s="1"/>
  <c r="K87" i="3"/>
  <c r="L87" i="3" s="1"/>
  <c r="J86" i="3"/>
  <c r="I86" i="3"/>
  <c r="I88" i="3" s="1"/>
  <c r="C86" i="3"/>
  <c r="B86" i="3"/>
  <c r="H86" i="3"/>
  <c r="D86" i="3"/>
  <c r="D88" i="3" s="1"/>
  <c r="D84" i="3"/>
  <c r="C106" i="3"/>
  <c r="E81" i="3"/>
  <c r="C81" i="3"/>
  <c r="C80" i="3"/>
  <c r="B80" i="3"/>
  <c r="H81" i="3"/>
  <c r="I77" i="3"/>
  <c r="H77" i="3"/>
  <c r="B77" i="3"/>
  <c r="F78" i="3"/>
  <c r="C77" i="3"/>
  <c r="C75" i="3"/>
  <c r="B75" i="3"/>
  <c r="I74" i="3"/>
  <c r="H74" i="3"/>
  <c r="G75" i="3"/>
  <c r="H72" i="3"/>
  <c r="G72" i="3"/>
  <c r="G71" i="3"/>
  <c r="E70" i="3"/>
  <c r="C71" i="3"/>
  <c r="G66" i="3"/>
  <c r="M65" i="3"/>
  <c r="K65" i="3"/>
  <c r="L65" i="3" s="1"/>
  <c r="K64" i="3"/>
  <c r="L64" i="3" s="1"/>
  <c r="M64" i="3" s="1"/>
  <c r="N64" i="3" s="1"/>
  <c r="J63" i="3"/>
  <c r="F63" i="3"/>
  <c r="F65" i="3" s="1"/>
  <c r="E63" i="3"/>
  <c r="G63" i="3"/>
  <c r="G65" i="3" s="1"/>
  <c r="D63" i="3"/>
  <c r="D65" i="3" s="1"/>
  <c r="B63" i="3"/>
  <c r="B65" i="3" s="1"/>
  <c r="L61" i="3"/>
  <c r="M61" i="3" s="1"/>
  <c r="N61" i="3" s="1"/>
  <c r="K61" i="3"/>
  <c r="K60" i="3"/>
  <c r="K59" i="3" s="1"/>
  <c r="J59" i="3"/>
  <c r="G59" i="3"/>
  <c r="G61" i="3" s="1"/>
  <c r="F59" i="3"/>
  <c r="F61" i="3" s="1"/>
  <c r="E59" i="3"/>
  <c r="D59" i="3"/>
  <c r="D61" i="3" s="1"/>
  <c r="B59" i="3"/>
  <c r="K57" i="3"/>
  <c r="L57" i="3" s="1"/>
  <c r="M57" i="3" s="1"/>
  <c r="N57" i="3" s="1"/>
  <c r="K56" i="3"/>
  <c r="K55" i="3" s="1"/>
  <c r="J55" i="3"/>
  <c r="I55" i="3"/>
  <c r="I57" i="3" s="1"/>
  <c r="B55" i="3"/>
  <c r="H55" i="3"/>
  <c r="H57" i="3" s="1"/>
  <c r="E55" i="3"/>
  <c r="E57" i="3" s="1"/>
  <c r="D55" i="3"/>
  <c r="C55" i="3"/>
  <c r="H53" i="3"/>
  <c r="H75" i="3"/>
  <c r="F53" i="3"/>
  <c r="G50" i="3"/>
  <c r="E50" i="3"/>
  <c r="C50" i="3"/>
  <c r="H49" i="3"/>
  <c r="C49" i="3"/>
  <c r="B49" i="3"/>
  <c r="E49" i="3"/>
  <c r="D17" i="3"/>
  <c r="E47" i="3"/>
  <c r="D47" i="3"/>
  <c r="C47" i="3"/>
  <c r="B46" i="3"/>
  <c r="E46" i="3"/>
  <c r="C14" i="3"/>
  <c r="C52" i="4" s="1"/>
  <c r="D44" i="3"/>
  <c r="C44" i="3"/>
  <c r="I43" i="3"/>
  <c r="H43" i="3"/>
  <c r="G41" i="3"/>
  <c r="D41" i="3"/>
  <c r="G40" i="3"/>
  <c r="D40" i="3"/>
  <c r="E39" i="3"/>
  <c r="E41" i="3"/>
  <c r="B41" i="3"/>
  <c r="G35" i="3"/>
  <c r="K34" i="3"/>
  <c r="L34" i="3" s="1"/>
  <c r="M34" i="3" s="1"/>
  <c r="N34" i="3" s="1"/>
  <c r="K33" i="3"/>
  <c r="J32" i="3"/>
  <c r="G32" i="3"/>
  <c r="G34" i="3" s="1"/>
  <c r="F32" i="3"/>
  <c r="E32" i="3"/>
  <c r="E34" i="3" s="1"/>
  <c r="D32" i="3"/>
  <c r="D34" i="3" s="1"/>
  <c r="C32" i="3"/>
  <c r="C34" i="3" s="1"/>
  <c r="B32" i="3"/>
  <c r="B34" i="3" s="1"/>
  <c r="L30" i="3"/>
  <c r="M30" i="3" s="1"/>
  <c r="N30" i="3" s="1"/>
  <c r="K30" i="3"/>
  <c r="D30" i="3"/>
  <c r="K29" i="3"/>
  <c r="K28" i="3" s="1"/>
  <c r="J28" i="3"/>
  <c r="J27" i="3" s="1"/>
  <c r="I30" i="3"/>
  <c r="C30" i="3"/>
  <c r="B28" i="3"/>
  <c r="B30" i="3" s="1"/>
  <c r="K26" i="3"/>
  <c r="L26" i="3" s="1"/>
  <c r="M26" i="3" s="1"/>
  <c r="N26" i="3" s="1"/>
  <c r="K25" i="3"/>
  <c r="L25" i="3" s="1"/>
  <c r="C24" i="3"/>
  <c r="C26" i="3" s="1"/>
  <c r="B24" i="3"/>
  <c r="B26" i="3" s="1"/>
  <c r="I24" i="3"/>
  <c r="I26" i="3" s="1"/>
  <c r="D24" i="3"/>
  <c r="D26" i="3" s="1"/>
  <c r="I22" i="3"/>
  <c r="H22" i="3"/>
  <c r="D22" i="3"/>
  <c r="H44" i="3"/>
  <c r="G152" i="3"/>
  <c r="E102" i="3"/>
  <c r="D133" i="3"/>
  <c r="C187" i="3"/>
  <c r="G17" i="3"/>
  <c r="C17" i="3"/>
  <c r="B17" i="3"/>
  <c r="H14" i="3"/>
  <c r="H52" i="4" s="1"/>
  <c r="G14" i="3"/>
  <c r="G52" i="4" s="1"/>
  <c r="D14" i="3"/>
  <c r="D52" i="4" s="1"/>
  <c r="B14" i="3"/>
  <c r="B52" i="4" s="1"/>
  <c r="G11" i="3"/>
  <c r="G46" i="4" s="1"/>
  <c r="G8" i="3"/>
  <c r="G47" i="4" s="1"/>
  <c r="E8" i="3"/>
  <c r="E47" i="4" s="1"/>
  <c r="H3" i="3"/>
  <c r="H3" i="4" s="1"/>
  <c r="G3" i="3"/>
  <c r="G3" i="4" s="1"/>
  <c r="C3" i="3"/>
  <c r="G179" i="1"/>
  <c r="G180" i="1" s="1"/>
  <c r="F179" i="1"/>
  <c r="F180" i="1" s="1"/>
  <c r="D179" i="1"/>
  <c r="D180" i="1" s="1"/>
  <c r="B178" i="1"/>
  <c r="G176" i="1"/>
  <c r="F176" i="1"/>
  <c r="E176" i="1"/>
  <c r="E179" i="1" s="1"/>
  <c r="E180" i="1" s="1"/>
  <c r="D176" i="1"/>
  <c r="C176" i="1"/>
  <c r="C179" i="1" s="1"/>
  <c r="C180" i="1" s="1"/>
  <c r="B176" i="1"/>
  <c r="B179" i="1" s="1"/>
  <c r="B180" i="1" s="1"/>
  <c r="F169" i="1"/>
  <c r="D169" i="1"/>
  <c r="C169" i="1"/>
  <c r="F168" i="1"/>
  <c r="D168" i="1"/>
  <c r="C168" i="1"/>
  <c r="B168" i="1"/>
  <c r="B169" i="1" s="1"/>
  <c r="G165" i="1"/>
  <c r="G168" i="1" s="1"/>
  <c r="G169" i="1" s="1"/>
  <c r="F165" i="1"/>
  <c r="E165" i="1"/>
  <c r="E168" i="1" s="1"/>
  <c r="E169" i="1" s="1"/>
  <c r="D165" i="1"/>
  <c r="C165" i="1"/>
  <c r="B165" i="1"/>
  <c r="F158" i="1"/>
  <c r="E158" i="1"/>
  <c r="F157" i="1"/>
  <c r="E157" i="1"/>
  <c r="D157" i="1"/>
  <c r="D158" i="1" s="1"/>
  <c r="C157" i="1"/>
  <c r="C158" i="1" s="1"/>
  <c r="G154" i="1"/>
  <c r="G157" i="1" s="1"/>
  <c r="G158" i="1" s="1"/>
  <c r="F154" i="1"/>
  <c r="E154" i="1"/>
  <c r="D154" i="1"/>
  <c r="C154" i="1"/>
  <c r="B154" i="1"/>
  <c r="B157" i="1" s="1"/>
  <c r="B158" i="1" s="1"/>
  <c r="G147" i="1"/>
  <c r="D147" i="1"/>
  <c r="G146" i="1"/>
  <c r="F146" i="1"/>
  <c r="F147" i="1" s="1"/>
  <c r="E146" i="1"/>
  <c r="E147" i="1" s="1"/>
  <c r="D146" i="1"/>
  <c r="C146" i="1"/>
  <c r="C147" i="1" s="1"/>
  <c r="C145" i="1"/>
  <c r="B145" i="1"/>
  <c r="B146" i="1" s="1"/>
  <c r="B147" i="1" s="1"/>
  <c r="G143" i="1"/>
  <c r="F143" i="1"/>
  <c r="E143" i="1"/>
  <c r="D143" i="1"/>
  <c r="C143" i="1"/>
  <c r="B143" i="1"/>
  <c r="C134" i="1"/>
  <c r="B134" i="1"/>
  <c r="G128" i="1"/>
  <c r="G135" i="1" s="1"/>
  <c r="G136" i="1" s="1"/>
  <c r="F128" i="1"/>
  <c r="F135" i="1" s="1"/>
  <c r="F136" i="1" s="1"/>
  <c r="E128" i="1"/>
  <c r="E135" i="1" s="1"/>
  <c r="E136" i="1" s="1"/>
  <c r="D128" i="1"/>
  <c r="D135" i="1" s="1"/>
  <c r="D136" i="1" s="1"/>
  <c r="C128" i="1"/>
  <c r="C135" i="1" s="1"/>
  <c r="C136" i="1" s="1"/>
  <c r="B128" i="1"/>
  <c r="B135" i="1" s="1"/>
  <c r="B136" i="1" s="1"/>
  <c r="I96" i="1"/>
  <c r="H96" i="1"/>
  <c r="G96" i="1"/>
  <c r="F96" i="1"/>
  <c r="E96" i="1"/>
  <c r="D96" i="1"/>
  <c r="C96" i="1"/>
  <c r="B96" i="1"/>
  <c r="I85" i="1"/>
  <c r="H85" i="1"/>
  <c r="G85" i="1"/>
  <c r="F85" i="1"/>
  <c r="E85" i="1"/>
  <c r="D85" i="1"/>
  <c r="C85" i="1"/>
  <c r="B85" i="1"/>
  <c r="H76" i="1"/>
  <c r="H98" i="1" s="1"/>
  <c r="G76" i="1"/>
  <c r="G98" i="1" s="1"/>
  <c r="F76" i="1"/>
  <c r="E76" i="1"/>
  <c r="E98" i="1" s="1"/>
  <c r="D76" i="1"/>
  <c r="D98" i="1" s="1"/>
  <c r="C76" i="1"/>
  <c r="C98" i="1" s="1"/>
  <c r="B76" i="1"/>
  <c r="B98" i="1" s="1"/>
  <c r="B100" i="1" s="1"/>
  <c r="I64" i="1"/>
  <c r="I76" i="1" s="1"/>
  <c r="I98" i="1" s="1"/>
  <c r="H64" i="1"/>
  <c r="I58" i="1"/>
  <c r="G58" i="1"/>
  <c r="F58" i="1"/>
  <c r="E58" i="1"/>
  <c r="D58" i="1"/>
  <c r="C58" i="1"/>
  <c r="B58" i="1"/>
  <c r="I45" i="1"/>
  <c r="G45" i="1"/>
  <c r="F45" i="1"/>
  <c r="F59" i="1" s="1"/>
  <c r="E45" i="1"/>
  <c r="D45" i="1"/>
  <c r="C45" i="1"/>
  <c r="B45" i="1"/>
  <c r="B59" i="1" s="1"/>
  <c r="I30" i="1"/>
  <c r="I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D12" i="1"/>
  <c r="D20" i="1" s="1"/>
  <c r="I7" i="1"/>
  <c r="H7" i="1"/>
  <c r="G7" i="1"/>
  <c r="F7" i="1"/>
  <c r="F10" i="1" s="1"/>
  <c r="E7" i="1"/>
  <c r="D7" i="1"/>
  <c r="C7" i="1"/>
  <c r="C10" i="1" s="1"/>
  <c r="C12" i="1" s="1"/>
  <c r="C20" i="1" s="1"/>
  <c r="B7" i="1"/>
  <c r="I4" i="1"/>
  <c r="I10" i="1" s="1"/>
  <c r="I12" i="1" s="1"/>
  <c r="H4" i="1"/>
  <c r="H10" i="1" s="1"/>
  <c r="H12" i="1" s="1"/>
  <c r="G4" i="1"/>
  <c r="G10" i="1" s="1"/>
  <c r="E4" i="1"/>
  <c r="D4" i="1"/>
  <c r="B4" i="1"/>
  <c r="H111" i="1"/>
  <c r="I111" i="1"/>
  <c r="H115" i="1"/>
  <c r="I115" i="1"/>
  <c r="H119" i="1"/>
  <c r="I119" i="1"/>
  <c r="H123" i="1"/>
  <c r="I123" i="1"/>
  <c r="H129" i="1"/>
  <c r="I129" i="1"/>
  <c r="H143" i="1"/>
  <c r="H146" i="1" s="1"/>
  <c r="H147" i="1" s="1"/>
  <c r="I143" i="1"/>
  <c r="I146" i="1"/>
  <c r="H154" i="1"/>
  <c r="H157" i="1" s="1"/>
  <c r="H158" i="1" s="1"/>
  <c r="I154" i="1"/>
  <c r="I157" i="1" s="1"/>
  <c r="I158" i="1" s="1"/>
  <c r="H165" i="1"/>
  <c r="H167" i="1" s="1"/>
  <c r="H168" i="1" s="1"/>
  <c r="H169" i="1" s="1"/>
  <c r="I165" i="1"/>
  <c r="I167" i="1" s="1"/>
  <c r="H176" i="1"/>
  <c r="H179" i="1" s="1"/>
  <c r="H180" i="1" s="1"/>
  <c r="I176" i="1"/>
  <c r="I179" i="1" s="1"/>
  <c r="I180" i="1" s="1"/>
  <c r="J1" i="4"/>
  <c r="K1" i="4" s="1"/>
  <c r="L1" i="4" s="1"/>
  <c r="M1" i="4" s="1"/>
  <c r="N1" i="4" s="1"/>
  <c r="H1" i="4"/>
  <c r="G1" i="4" s="1"/>
  <c r="F1" i="4" s="1"/>
  <c r="E1" i="4" s="1"/>
  <c r="D1" i="4" s="1"/>
  <c r="C1" i="4" s="1"/>
  <c r="B1" i="4" s="1"/>
  <c r="C67" i="4" l="1"/>
  <c r="B69" i="4"/>
  <c r="H58" i="4"/>
  <c r="G58" i="4"/>
  <c r="K59" i="4"/>
  <c r="R29" i="4"/>
  <c r="R22" i="4"/>
  <c r="B58" i="4"/>
  <c r="J15" i="4"/>
  <c r="R20" i="4"/>
  <c r="E58" i="4"/>
  <c r="D58" i="4"/>
  <c r="J40" i="4"/>
  <c r="K40" i="4" s="1"/>
  <c r="L40" i="4" s="1"/>
  <c r="M40" i="4" s="1"/>
  <c r="N40" i="4" s="1"/>
  <c r="I39" i="4"/>
  <c r="G212" i="3"/>
  <c r="F43" i="3"/>
  <c r="H128" i="3"/>
  <c r="H130" i="3" s="1"/>
  <c r="F14" i="3"/>
  <c r="F52" i="4" s="1"/>
  <c r="F58" i="4" s="1"/>
  <c r="F46" i="3"/>
  <c r="D8" i="3"/>
  <c r="D6" i="4" s="1"/>
  <c r="F41" i="3"/>
  <c r="D71" i="3"/>
  <c r="H88" i="3"/>
  <c r="H119" i="3"/>
  <c r="F209" i="3"/>
  <c r="F8" i="3"/>
  <c r="F47" i="4" s="1"/>
  <c r="F39" i="3"/>
  <c r="G46" i="3"/>
  <c r="E53" i="3"/>
  <c r="I59" i="3"/>
  <c r="I61" i="3" s="1"/>
  <c r="E80" i="3"/>
  <c r="G123" i="3"/>
  <c r="G127" i="3"/>
  <c r="I158" i="3"/>
  <c r="I196" i="3"/>
  <c r="F200" i="3"/>
  <c r="E216" i="3"/>
  <c r="F190" i="3"/>
  <c r="K199" i="3"/>
  <c r="F35" i="3"/>
  <c r="F37" i="3" s="1"/>
  <c r="E61" i="3"/>
  <c r="D72" i="3"/>
  <c r="F84" i="3"/>
  <c r="D102" i="3"/>
  <c r="H127" i="3"/>
  <c r="B159" i="3"/>
  <c r="B188" i="3"/>
  <c r="D194" i="3"/>
  <c r="I128" i="3"/>
  <c r="I130" i="3" s="1"/>
  <c r="F50" i="3"/>
  <c r="D81" i="3"/>
  <c r="F94" i="3"/>
  <c r="H137" i="3"/>
  <c r="G43" i="3"/>
  <c r="E3" i="3"/>
  <c r="E3" i="4" s="1"/>
  <c r="E24" i="4" s="1"/>
  <c r="D11" i="3"/>
  <c r="I14" i="3"/>
  <c r="I52" i="4" s="1"/>
  <c r="I58" i="4" s="1"/>
  <c r="F102" i="3"/>
  <c r="I109" i="3"/>
  <c r="J109" i="3" s="1"/>
  <c r="K109" i="3" s="1"/>
  <c r="L109" i="3" s="1"/>
  <c r="M109" i="3" s="1"/>
  <c r="N109" i="3" s="1"/>
  <c r="H165" i="3"/>
  <c r="B186" i="3"/>
  <c r="I201" i="3"/>
  <c r="B182" i="3"/>
  <c r="F34" i="3"/>
  <c r="E65" i="3"/>
  <c r="H181" i="3"/>
  <c r="E201" i="3"/>
  <c r="E203" i="3" s="1"/>
  <c r="I134" i="3"/>
  <c r="J134" i="3" s="1"/>
  <c r="G13" i="4"/>
  <c r="D64" i="4"/>
  <c r="H16" i="4"/>
  <c r="G60" i="4"/>
  <c r="D51" i="4"/>
  <c r="G16" i="4"/>
  <c r="G19" i="4" s="1"/>
  <c r="D39" i="4"/>
  <c r="D43" i="4" s="1"/>
  <c r="B16" i="4"/>
  <c r="B19" i="4" s="1"/>
  <c r="E13" i="4"/>
  <c r="D13" i="4"/>
  <c r="I18" i="4"/>
  <c r="I60" i="4"/>
  <c r="G31" i="4"/>
  <c r="F51" i="4"/>
  <c r="C13" i="4"/>
  <c r="E51" i="4"/>
  <c r="G51" i="4"/>
  <c r="I13" i="4"/>
  <c r="C16" i="4"/>
  <c r="C19" i="4" s="1"/>
  <c r="C31" i="4"/>
  <c r="F13" i="4"/>
  <c r="E16" i="4"/>
  <c r="E19" i="4" s="1"/>
  <c r="E60" i="4"/>
  <c r="B13" i="4"/>
  <c r="C51" i="4"/>
  <c r="D16" i="4"/>
  <c r="D19" i="4" s="1"/>
  <c r="F18" i="4"/>
  <c r="D31" i="4"/>
  <c r="F39" i="4"/>
  <c r="F43" i="4" s="1"/>
  <c r="D60" i="4"/>
  <c r="B31" i="4"/>
  <c r="D18" i="4"/>
  <c r="C39" i="4"/>
  <c r="C43" i="4" s="1"/>
  <c r="F16" i="4"/>
  <c r="F19" i="4" s="1"/>
  <c r="E31" i="4"/>
  <c r="F64" i="4"/>
  <c r="C18" i="4"/>
  <c r="F31" i="4"/>
  <c r="H19" i="4"/>
  <c r="B64" i="4"/>
  <c r="H13" i="4"/>
  <c r="I16" i="4"/>
  <c r="I19" i="4" s="1"/>
  <c r="H51" i="4"/>
  <c r="I51" i="4"/>
  <c r="H31" i="4"/>
  <c r="K33" i="4"/>
  <c r="G64" i="4"/>
  <c r="E18" i="4"/>
  <c r="L13" i="4"/>
  <c r="M13" i="4" s="1"/>
  <c r="N13" i="4" s="1"/>
  <c r="I31" i="4"/>
  <c r="C60" i="4"/>
  <c r="C64" i="4"/>
  <c r="B39" i="4"/>
  <c r="B43" i="4" s="1"/>
  <c r="G49" i="4"/>
  <c r="H24" i="4"/>
  <c r="I182" i="3"/>
  <c r="E202" i="3"/>
  <c r="I171" i="3"/>
  <c r="I173" i="3" s="1"/>
  <c r="H11" i="3"/>
  <c r="H46" i="4" s="1"/>
  <c r="H49" i="4" s="1"/>
  <c r="I132" i="3"/>
  <c r="F127" i="3"/>
  <c r="D18" i="3"/>
  <c r="E92" i="3"/>
  <c r="F96" i="3"/>
  <c r="B88" i="3"/>
  <c r="C19" i="3"/>
  <c r="D47" i="4"/>
  <c r="E6" i="4"/>
  <c r="D15" i="3"/>
  <c r="C15" i="3"/>
  <c r="B15" i="3"/>
  <c r="E11" i="3"/>
  <c r="E7" i="4" s="1"/>
  <c r="E35" i="3"/>
  <c r="E37" i="3" s="1"/>
  <c r="E44" i="3"/>
  <c r="E43" i="3"/>
  <c r="G6" i="4"/>
  <c r="F6" i="4"/>
  <c r="C3" i="4"/>
  <c r="C24" i="4" s="1"/>
  <c r="L180" i="3"/>
  <c r="M180" i="3" s="1"/>
  <c r="M94" i="1"/>
  <c r="G24" i="4"/>
  <c r="D19" i="3"/>
  <c r="D3" i="4"/>
  <c r="D4" i="3"/>
  <c r="D4" i="4" s="1"/>
  <c r="D16" i="3"/>
  <c r="E146" i="3"/>
  <c r="D159" i="3"/>
  <c r="G16" i="3"/>
  <c r="H16" i="3"/>
  <c r="F3" i="4"/>
  <c r="D13" i="3"/>
  <c r="D9" i="4" s="1"/>
  <c r="E4" i="3"/>
  <c r="E4" i="4" s="1"/>
  <c r="D10" i="3"/>
  <c r="D146" i="3"/>
  <c r="C16" i="3"/>
  <c r="H7" i="4"/>
  <c r="F46" i="4"/>
  <c r="F49" i="4" s="1"/>
  <c r="G7" i="4"/>
  <c r="D46" i="4"/>
  <c r="D49" i="4" s="1"/>
  <c r="D7" i="4"/>
  <c r="L63" i="3"/>
  <c r="K86" i="3"/>
  <c r="J85" i="3"/>
  <c r="J83" i="3" s="1"/>
  <c r="K94" i="3"/>
  <c r="K93" i="3" s="1"/>
  <c r="L94" i="3"/>
  <c r="J116" i="3"/>
  <c r="K175" i="3"/>
  <c r="K174" i="3" s="1"/>
  <c r="L174" i="3" s="1"/>
  <c r="M63" i="3"/>
  <c r="K63" i="3"/>
  <c r="J54" i="3"/>
  <c r="K54" i="3" s="1"/>
  <c r="L56" i="3"/>
  <c r="M56" i="3" s="1"/>
  <c r="K27" i="3"/>
  <c r="K24" i="3"/>
  <c r="G39" i="4"/>
  <c r="G43" i="4" s="1"/>
  <c r="H39" i="4"/>
  <c r="H43" i="4" s="1"/>
  <c r="E39" i="4"/>
  <c r="E43" i="4" s="1"/>
  <c r="I64" i="4"/>
  <c r="H64" i="4"/>
  <c r="E64" i="4"/>
  <c r="F13" i="3"/>
  <c r="F9" i="4" s="1"/>
  <c r="G12" i="3"/>
  <c r="G8" i="4" s="1"/>
  <c r="I71" i="3"/>
  <c r="I72" i="3"/>
  <c r="J72" i="3" s="1"/>
  <c r="I206" i="3"/>
  <c r="I75" i="3"/>
  <c r="I133" i="3"/>
  <c r="N65" i="3"/>
  <c r="N63" i="3" s="1"/>
  <c r="L86" i="3"/>
  <c r="M87" i="3"/>
  <c r="G4" i="3"/>
  <c r="G4" i="4" s="1"/>
  <c r="I41" i="3"/>
  <c r="J41" i="3" s="1"/>
  <c r="I40" i="3"/>
  <c r="I8" i="3"/>
  <c r="C53" i="3"/>
  <c r="B53" i="3"/>
  <c r="B78" i="3"/>
  <c r="F55" i="3"/>
  <c r="F57" i="3" s="1"/>
  <c r="G30" i="3"/>
  <c r="F30" i="3"/>
  <c r="H4" i="3"/>
  <c r="H4" i="4" s="1"/>
  <c r="E10" i="3"/>
  <c r="E9" i="3"/>
  <c r="I70" i="3"/>
  <c r="H39" i="3"/>
  <c r="H41" i="3"/>
  <c r="H40" i="3"/>
  <c r="F24" i="3"/>
  <c r="F26" i="3" s="1"/>
  <c r="H32" i="3"/>
  <c r="H34" i="3" s="1"/>
  <c r="C40" i="3"/>
  <c r="D39" i="3"/>
  <c r="C39" i="3"/>
  <c r="C8" i="3"/>
  <c r="B11" i="3"/>
  <c r="B43" i="3"/>
  <c r="B35" i="3"/>
  <c r="L60" i="3"/>
  <c r="B191" i="3"/>
  <c r="B187" i="3"/>
  <c r="B47" i="3"/>
  <c r="B50" i="3"/>
  <c r="C22" i="3"/>
  <c r="B22" i="3"/>
  <c r="I3" i="3"/>
  <c r="I19" i="3" s="1"/>
  <c r="H47" i="3"/>
  <c r="I46" i="3"/>
  <c r="H46" i="3"/>
  <c r="B3" i="3"/>
  <c r="B3" i="4" s="1"/>
  <c r="B24" i="4" s="1"/>
  <c r="G24" i="3"/>
  <c r="G26" i="3" s="1"/>
  <c r="I32" i="3"/>
  <c r="I34" i="3" s="1"/>
  <c r="G36" i="3"/>
  <c r="G37" i="3"/>
  <c r="H8" i="3"/>
  <c r="G13" i="3"/>
  <c r="G9" i="4" s="1"/>
  <c r="G15" i="3"/>
  <c r="J31" i="3"/>
  <c r="J21" i="3" s="1"/>
  <c r="H35" i="3"/>
  <c r="H50" i="3"/>
  <c r="H17" i="3"/>
  <c r="H63" i="3"/>
  <c r="H65" i="3" s="1"/>
  <c r="F80" i="3"/>
  <c r="F17" i="3"/>
  <c r="G18" i="3" s="1"/>
  <c r="F81" i="3"/>
  <c r="F75" i="3"/>
  <c r="G74" i="3"/>
  <c r="F74" i="3"/>
  <c r="F66" i="3"/>
  <c r="E24" i="3"/>
  <c r="E26" i="3" s="1"/>
  <c r="B40" i="3"/>
  <c r="B39" i="3"/>
  <c r="B8" i="3"/>
  <c r="F10" i="3"/>
  <c r="G10" i="3"/>
  <c r="G9" i="3"/>
  <c r="G19" i="3"/>
  <c r="L33" i="3"/>
  <c r="K32" i="3"/>
  <c r="C43" i="3"/>
  <c r="C35" i="3"/>
  <c r="C11" i="3"/>
  <c r="I53" i="3"/>
  <c r="H13" i="3"/>
  <c r="H9" i="4" s="1"/>
  <c r="H12" i="3"/>
  <c r="H8" i="4" s="1"/>
  <c r="H15" i="3"/>
  <c r="C18" i="3"/>
  <c r="B18" i="3"/>
  <c r="I44" i="3"/>
  <c r="I47" i="3"/>
  <c r="J47" i="3" s="1"/>
  <c r="K47" i="3" s="1"/>
  <c r="L47" i="3" s="1"/>
  <c r="M47" i="3" s="1"/>
  <c r="N47" i="3" s="1"/>
  <c r="L24" i="3"/>
  <c r="M25" i="3"/>
  <c r="I39" i="3"/>
  <c r="C41" i="3"/>
  <c r="I50" i="3"/>
  <c r="I49" i="3"/>
  <c r="B57" i="3"/>
  <c r="H70" i="3"/>
  <c r="H66" i="3"/>
  <c r="H71" i="3"/>
  <c r="E75" i="3"/>
  <c r="E74" i="3"/>
  <c r="E66" i="3"/>
  <c r="I78" i="3"/>
  <c r="J78" i="3" s="1"/>
  <c r="K78" i="3" s="1"/>
  <c r="L78" i="3" s="1"/>
  <c r="M78" i="3" s="1"/>
  <c r="N78" i="3" s="1"/>
  <c r="B106" i="3"/>
  <c r="B109" i="3"/>
  <c r="K90" i="3"/>
  <c r="K89" i="3" s="1"/>
  <c r="L91" i="3"/>
  <c r="H101" i="3"/>
  <c r="H102" i="3"/>
  <c r="F134" i="3"/>
  <c r="F133" i="3"/>
  <c r="F132" i="3"/>
  <c r="K134" i="3"/>
  <c r="G140" i="3"/>
  <c r="F142" i="3"/>
  <c r="F143" i="3"/>
  <c r="I155" i="3"/>
  <c r="I147" i="3"/>
  <c r="I156" i="3"/>
  <c r="I11" i="3"/>
  <c r="I101" i="3"/>
  <c r="I97" i="3"/>
  <c r="G142" i="3"/>
  <c r="G143" i="3"/>
  <c r="H142" i="3"/>
  <c r="K167" i="3"/>
  <c r="L168" i="3"/>
  <c r="G206" i="3"/>
  <c r="I63" i="3"/>
  <c r="I65" i="3" s="1"/>
  <c r="B71" i="3"/>
  <c r="G80" i="3"/>
  <c r="H80" i="3"/>
  <c r="B84" i="3"/>
  <c r="C94" i="3"/>
  <c r="C96" i="3" s="1"/>
  <c r="M94" i="3"/>
  <c r="B99" i="3"/>
  <c r="B102" i="3"/>
  <c r="I103" i="3"/>
  <c r="J103" i="3" s="1"/>
  <c r="L119" i="3"/>
  <c r="M119" i="3" s="1"/>
  <c r="N119" i="3" s="1"/>
  <c r="K117" i="3"/>
  <c r="K121" i="3"/>
  <c r="L122" i="3"/>
  <c r="E125" i="3"/>
  <c r="E127" i="3" s="1"/>
  <c r="D125" i="3"/>
  <c r="D127" i="3" s="1"/>
  <c r="N127" i="3"/>
  <c r="N125" i="3" s="1"/>
  <c r="M125" i="3"/>
  <c r="G146" i="3"/>
  <c r="G156" i="3"/>
  <c r="D149" i="3"/>
  <c r="F197" i="3"/>
  <c r="G196" i="3"/>
  <c r="F196" i="3"/>
  <c r="G55" i="3"/>
  <c r="G57" i="3" s="1"/>
  <c r="B61" i="3"/>
  <c r="J58" i="3"/>
  <c r="J62" i="3"/>
  <c r="D77" i="3"/>
  <c r="I80" i="3"/>
  <c r="G81" i="3"/>
  <c r="C84" i="3"/>
  <c r="N94" i="3"/>
  <c r="E119" i="3"/>
  <c r="I121" i="3"/>
  <c r="I123" i="3" s="1"/>
  <c r="J120" i="3"/>
  <c r="H146" i="3"/>
  <c r="H156" i="3"/>
  <c r="I146" i="3"/>
  <c r="M176" i="3"/>
  <c r="L175" i="3"/>
  <c r="E17" i="3"/>
  <c r="E210" i="3"/>
  <c r="E133" i="3"/>
  <c r="D43" i="3"/>
  <c r="D35" i="3"/>
  <c r="D46" i="3"/>
  <c r="C59" i="3"/>
  <c r="C61" i="3" s="1"/>
  <c r="B70" i="3"/>
  <c r="E77" i="3"/>
  <c r="C78" i="3"/>
  <c r="I81" i="3"/>
  <c r="B92" i="3"/>
  <c r="G98" i="3"/>
  <c r="G99" i="3"/>
  <c r="G102" i="3"/>
  <c r="E109" i="3"/>
  <c r="E108" i="3"/>
  <c r="E130" i="3"/>
  <c r="E137" i="3"/>
  <c r="E136" i="3"/>
  <c r="E153" i="3"/>
  <c r="E151" i="3"/>
  <c r="E152" i="3"/>
  <c r="E147" i="3"/>
  <c r="F213" i="3"/>
  <c r="F191" i="3"/>
  <c r="F187" i="3"/>
  <c r="F22" i="3"/>
  <c r="G68" i="3"/>
  <c r="E72" i="3"/>
  <c r="C70" i="3"/>
  <c r="B72" i="3"/>
  <c r="B74" i="3"/>
  <c r="B66" i="3"/>
  <c r="D78" i="3"/>
  <c r="B81" i="3"/>
  <c r="G106" i="3"/>
  <c r="G84" i="3"/>
  <c r="E86" i="3"/>
  <c r="E88" i="3" s="1"/>
  <c r="C90" i="3"/>
  <c r="C92" i="3" s="1"/>
  <c r="H97" i="3"/>
  <c r="D106" i="3"/>
  <c r="D97" i="3"/>
  <c r="D105" i="3"/>
  <c r="F109" i="3"/>
  <c r="F108" i="3"/>
  <c r="F137" i="3"/>
  <c r="F136" i="3"/>
  <c r="F128" i="3"/>
  <c r="F188" i="3"/>
  <c r="E15" i="3"/>
  <c r="G22" i="3"/>
  <c r="G191" i="3"/>
  <c r="H24" i="3"/>
  <c r="H26" i="3" s="1"/>
  <c r="F44" i="3"/>
  <c r="F49" i="3"/>
  <c r="G53" i="3"/>
  <c r="C57" i="3"/>
  <c r="C63" i="3"/>
  <c r="C65" i="3" s="1"/>
  <c r="F72" i="3"/>
  <c r="F70" i="3"/>
  <c r="E71" i="3"/>
  <c r="C74" i="3"/>
  <c r="C66" i="3"/>
  <c r="G78" i="3"/>
  <c r="F77" i="3"/>
  <c r="E78" i="3"/>
  <c r="H84" i="3"/>
  <c r="I84" i="3"/>
  <c r="F86" i="3"/>
  <c r="F88" i="3" s="1"/>
  <c r="C88" i="3"/>
  <c r="D90" i="3"/>
  <c r="D92" i="3" s="1"/>
  <c r="G96" i="3"/>
  <c r="F99" i="3"/>
  <c r="E106" i="3"/>
  <c r="E97" i="3"/>
  <c r="E105" i="3"/>
  <c r="E111" i="3"/>
  <c r="E103" i="3"/>
  <c r="E112" i="3"/>
  <c r="L117" i="3"/>
  <c r="L125" i="3"/>
  <c r="E139" i="3"/>
  <c r="E140" i="3"/>
  <c r="G184" i="3"/>
  <c r="G183" i="3"/>
  <c r="F15" i="3"/>
  <c r="H210" i="3"/>
  <c r="H206" i="3"/>
  <c r="E22" i="3"/>
  <c r="L29" i="3"/>
  <c r="F36" i="3"/>
  <c r="G39" i="3"/>
  <c r="G44" i="3"/>
  <c r="G47" i="3"/>
  <c r="C46" i="3"/>
  <c r="D49" i="3"/>
  <c r="D57" i="3"/>
  <c r="G70" i="3"/>
  <c r="F71" i="3"/>
  <c r="D74" i="3"/>
  <c r="D66" i="3"/>
  <c r="H78" i="3"/>
  <c r="G77" i="3"/>
  <c r="G86" i="3"/>
  <c r="G88" i="3" s="1"/>
  <c r="H96" i="3"/>
  <c r="G103" i="3"/>
  <c r="G101" i="3"/>
  <c r="H106" i="3"/>
  <c r="F111" i="3"/>
  <c r="F112" i="3"/>
  <c r="B112" i="3"/>
  <c r="M118" i="3"/>
  <c r="B129" i="3"/>
  <c r="F140" i="3"/>
  <c r="F139" i="3"/>
  <c r="C158" i="3"/>
  <c r="C159" i="3"/>
  <c r="E171" i="3"/>
  <c r="E173" i="3" s="1"/>
  <c r="D171" i="3"/>
  <c r="D173" i="3" s="1"/>
  <c r="F106" i="3"/>
  <c r="G109" i="3"/>
  <c r="B123" i="3"/>
  <c r="G132" i="3"/>
  <c r="G137" i="3"/>
  <c r="B155" i="3"/>
  <c r="B156" i="3"/>
  <c r="D158" i="3"/>
  <c r="D161" i="3"/>
  <c r="D162" i="3"/>
  <c r="B162" i="3"/>
  <c r="D167" i="3"/>
  <c r="D169" i="3" s="1"/>
  <c r="H187" i="3"/>
  <c r="H188" i="3"/>
  <c r="I186" i="3"/>
  <c r="H186" i="3"/>
  <c r="C103" i="3"/>
  <c r="H109" i="3"/>
  <c r="H112" i="3"/>
  <c r="G111" i="3"/>
  <c r="H115" i="3"/>
  <c r="D117" i="3"/>
  <c r="D119" i="3" s="1"/>
  <c r="C121" i="3"/>
  <c r="C123" i="3" s="1"/>
  <c r="G128" i="3"/>
  <c r="H129" i="3" s="1"/>
  <c r="H132" i="3"/>
  <c r="B137" i="3"/>
  <c r="H140" i="3"/>
  <c r="I143" i="3"/>
  <c r="H152" i="3"/>
  <c r="H151" i="3"/>
  <c r="C155" i="3"/>
  <c r="C147" i="3"/>
  <c r="D148" i="3" s="1"/>
  <c r="C156" i="3"/>
  <c r="B169" i="3"/>
  <c r="K200" i="3"/>
  <c r="K211" i="3"/>
  <c r="L199" i="3"/>
  <c r="I112" i="3"/>
  <c r="H111" i="3"/>
  <c r="I115" i="3"/>
  <c r="I140" i="3"/>
  <c r="J140" i="3" s="1"/>
  <c r="K140" i="3" s="1"/>
  <c r="L140" i="3" s="1"/>
  <c r="M140" i="3" s="1"/>
  <c r="N140" i="3" s="1"/>
  <c r="G139" i="3"/>
  <c r="B143" i="3"/>
  <c r="I142" i="3"/>
  <c r="G149" i="3"/>
  <c r="I152" i="3"/>
  <c r="D155" i="3"/>
  <c r="F159" i="3"/>
  <c r="G158" i="3"/>
  <c r="E158" i="3"/>
  <c r="K171" i="3"/>
  <c r="L172" i="3"/>
  <c r="C191" i="3"/>
  <c r="B202" i="3"/>
  <c r="B203" i="3"/>
  <c r="C97" i="3"/>
  <c r="F105" i="3"/>
  <c r="G108" i="3"/>
  <c r="I111" i="3"/>
  <c r="I125" i="3"/>
  <c r="I127" i="3" s="1"/>
  <c r="B133" i="3"/>
  <c r="G136" i="3"/>
  <c r="H139" i="3"/>
  <c r="H147" i="3"/>
  <c r="B152" i="3"/>
  <c r="G159" i="3"/>
  <c r="F158" i="3"/>
  <c r="G162" i="3"/>
  <c r="G161" i="3"/>
  <c r="F165" i="3"/>
  <c r="E177" i="3"/>
  <c r="L179" i="3"/>
  <c r="C196" i="3"/>
  <c r="C197" i="3"/>
  <c r="G105" i="3"/>
  <c r="C108" i="3"/>
  <c r="H108" i="3"/>
  <c r="J124" i="3"/>
  <c r="K124" i="3" s="1"/>
  <c r="L124" i="3" s="1"/>
  <c r="C133" i="3"/>
  <c r="G133" i="3"/>
  <c r="C136" i="3"/>
  <c r="C128" i="3"/>
  <c r="H136" i="3"/>
  <c r="I139" i="3"/>
  <c r="C152" i="3"/>
  <c r="H153" i="3"/>
  <c r="H159" i="3"/>
  <c r="H162" i="3"/>
  <c r="H161" i="3"/>
  <c r="G165" i="3"/>
  <c r="G194" i="3"/>
  <c r="B173" i="3"/>
  <c r="J170" i="3"/>
  <c r="K170" i="3" s="1"/>
  <c r="J178" i="3"/>
  <c r="K178" i="3" s="1"/>
  <c r="I179" i="3"/>
  <c r="I181" i="3" s="1"/>
  <c r="D206" i="3"/>
  <c r="D210" i="3"/>
  <c r="H133" i="3"/>
  <c r="G134" i="3"/>
  <c r="D136" i="3"/>
  <c r="D128" i="3"/>
  <c r="D139" i="3"/>
  <c r="B142" i="3"/>
  <c r="C146" i="3"/>
  <c r="D153" i="3"/>
  <c r="D152" i="3"/>
  <c r="I153" i="3"/>
  <c r="J153" i="3" s="1"/>
  <c r="I162" i="3"/>
  <c r="J162" i="3" s="1"/>
  <c r="I161" i="3"/>
  <c r="H194" i="3"/>
  <c r="H197" i="3"/>
  <c r="J166" i="3"/>
  <c r="E186" i="3"/>
  <c r="E187" i="3"/>
  <c r="E182" i="3"/>
  <c r="E188" i="3"/>
  <c r="B193" i="3"/>
  <c r="B194" i="3"/>
  <c r="F186" i="3"/>
  <c r="D191" i="3"/>
  <c r="E190" i="3"/>
  <c r="D190" i="3"/>
  <c r="D196" i="3"/>
  <c r="I210" i="3"/>
  <c r="E213" i="3"/>
  <c r="G187" i="3"/>
  <c r="E191" i="3"/>
  <c r="I193" i="3"/>
  <c r="I194" i="3"/>
  <c r="J194" i="3" s="1"/>
  <c r="K194" i="3" s="1"/>
  <c r="L194" i="3" s="1"/>
  <c r="M194" i="3" s="1"/>
  <c r="N194" i="3" s="1"/>
  <c r="E197" i="3"/>
  <c r="J196" i="3"/>
  <c r="K197" i="3"/>
  <c r="J211" i="3"/>
  <c r="L207" i="3"/>
  <c r="B210" i="3"/>
  <c r="B207" i="3"/>
  <c r="B205" i="3"/>
  <c r="B206" i="3"/>
  <c r="C210" i="3"/>
  <c r="C171" i="3"/>
  <c r="C173" i="3" s="1"/>
  <c r="H175" i="3"/>
  <c r="H177" i="3" s="1"/>
  <c r="I187" i="3"/>
  <c r="K188" i="3"/>
  <c r="C193" i="3"/>
  <c r="G197" i="3"/>
  <c r="C200" i="3"/>
  <c r="C216" i="3"/>
  <c r="C205" i="3"/>
  <c r="M179" i="3"/>
  <c r="N180" i="3"/>
  <c r="N179" i="3" s="1"/>
  <c r="C183" i="3"/>
  <c r="C184" i="3"/>
  <c r="H190" i="3"/>
  <c r="H182" i="3"/>
  <c r="H191" i="3"/>
  <c r="I203" i="3"/>
  <c r="J203" i="3" s="1"/>
  <c r="K203" i="3" s="1"/>
  <c r="L203" i="3" s="1"/>
  <c r="M203" i="3" s="1"/>
  <c r="N203" i="3" s="1"/>
  <c r="D216" i="3"/>
  <c r="F151" i="3"/>
  <c r="F153" i="3"/>
  <c r="D156" i="3"/>
  <c r="E161" i="3"/>
  <c r="G167" i="3"/>
  <c r="G169" i="3" s="1"/>
  <c r="G179" i="3"/>
  <c r="G181" i="3" s="1"/>
  <c r="D182" i="3"/>
  <c r="C188" i="3"/>
  <c r="I190" i="3"/>
  <c r="I191" i="3"/>
  <c r="E194" i="3"/>
  <c r="F193" i="3"/>
  <c r="E193" i="3"/>
  <c r="E200" i="3"/>
  <c r="E206" i="3"/>
  <c r="B213" i="3"/>
  <c r="G151" i="3"/>
  <c r="F152" i="3"/>
  <c r="G153" i="3"/>
  <c r="E156" i="3"/>
  <c r="F161" i="3"/>
  <c r="F184" i="3"/>
  <c r="D188" i="3"/>
  <c r="D186" i="3"/>
  <c r="D187" i="3"/>
  <c r="F194" i="3"/>
  <c r="B196" i="3"/>
  <c r="B197" i="3"/>
  <c r="F206" i="3"/>
  <c r="C213" i="3"/>
  <c r="C207" i="3"/>
  <c r="G216" i="3"/>
  <c r="G213" i="3"/>
  <c r="G188" i="3"/>
  <c r="C201" i="3"/>
  <c r="G205" i="3"/>
  <c r="E207" i="3"/>
  <c r="C209" i="3"/>
  <c r="F210" i="3"/>
  <c r="D212" i="3"/>
  <c r="H213" i="3"/>
  <c r="F215" i="3"/>
  <c r="I216" i="3"/>
  <c r="J216" i="3" s="1"/>
  <c r="J214" i="3" s="1"/>
  <c r="J204" i="3" s="1"/>
  <c r="C206" i="3"/>
  <c r="F207" i="3"/>
  <c r="G210" i="3"/>
  <c r="B216" i="3"/>
  <c r="F201" i="3"/>
  <c r="G201" i="3"/>
  <c r="H201" i="3"/>
  <c r="I202" i="3" s="1"/>
  <c r="B101" i="1"/>
  <c r="C99" i="1"/>
  <c r="C100" i="1" s="1"/>
  <c r="E10" i="1"/>
  <c r="I128" i="1"/>
  <c r="I135" i="1" s="1"/>
  <c r="H128" i="1"/>
  <c r="H135" i="1" s="1"/>
  <c r="H136" i="1" s="1"/>
  <c r="B10" i="1"/>
  <c r="B12" i="1" s="1"/>
  <c r="B20" i="1" s="1"/>
  <c r="I59" i="1"/>
  <c r="I60" i="1" s="1"/>
  <c r="G59" i="1"/>
  <c r="G60" i="1" s="1"/>
  <c r="E59" i="1"/>
  <c r="E60" i="1" s="1"/>
  <c r="H60" i="1"/>
  <c r="C59" i="1"/>
  <c r="D59" i="1"/>
  <c r="D60" i="1" s="1"/>
  <c r="B60" i="1"/>
  <c r="C60" i="1"/>
  <c r="F60" i="1"/>
  <c r="G12" i="1"/>
  <c r="G20" i="1" s="1"/>
  <c r="H20" i="1"/>
  <c r="F12" i="1"/>
  <c r="F20" i="1" s="1"/>
  <c r="E12" i="1"/>
  <c r="E20" i="1" s="1"/>
  <c r="I20" i="1"/>
  <c r="I147" i="1"/>
  <c r="I168" i="1"/>
  <c r="I169" i="1" s="1"/>
  <c r="D54" i="4" l="1"/>
  <c r="S20" i="4"/>
  <c r="R26" i="4"/>
  <c r="L59" i="4"/>
  <c r="S29" i="4"/>
  <c r="K15" i="4" s="1"/>
  <c r="S22" i="4"/>
  <c r="J35" i="3"/>
  <c r="J48" i="3"/>
  <c r="J38" i="3" s="1"/>
  <c r="J201" i="3"/>
  <c r="B5" i="3"/>
  <c r="B184" i="3"/>
  <c r="B183" i="3"/>
  <c r="D12" i="3"/>
  <c r="D8" i="4" s="1"/>
  <c r="F16" i="3"/>
  <c r="E16" i="3"/>
  <c r="F9" i="3"/>
  <c r="F54" i="4"/>
  <c r="F55" i="4" s="1"/>
  <c r="F66" i="4" s="1"/>
  <c r="I15" i="3"/>
  <c r="F4" i="3"/>
  <c r="F4" i="4" s="1"/>
  <c r="G53" i="4"/>
  <c r="G54" i="4"/>
  <c r="G55" i="4" s="1"/>
  <c r="G66" i="4" s="1"/>
  <c r="I43" i="4"/>
  <c r="L33" i="4"/>
  <c r="J110" i="3"/>
  <c r="F12" i="3"/>
  <c r="F8" i="4" s="1"/>
  <c r="E13" i="3"/>
  <c r="E9" i="4" s="1"/>
  <c r="E46" i="4"/>
  <c r="E49" i="4" s="1"/>
  <c r="E54" i="4" s="1"/>
  <c r="E55" i="4" s="1"/>
  <c r="E66" i="4" s="1"/>
  <c r="E12" i="3"/>
  <c r="E8" i="4" s="1"/>
  <c r="D53" i="4"/>
  <c r="C6" i="4"/>
  <c r="C47" i="4"/>
  <c r="H47" i="4"/>
  <c r="H6" i="4"/>
  <c r="I47" i="4"/>
  <c r="I6" i="4"/>
  <c r="B6" i="4"/>
  <c r="B47" i="4"/>
  <c r="B19" i="3"/>
  <c r="N94" i="1"/>
  <c r="I16" i="3"/>
  <c r="F24" i="4"/>
  <c r="D24" i="4"/>
  <c r="C4" i="3"/>
  <c r="C4" i="4" s="1"/>
  <c r="B18" i="4"/>
  <c r="I4" i="3"/>
  <c r="I4" i="4" s="1"/>
  <c r="I3" i="4"/>
  <c r="I7" i="4"/>
  <c r="I46" i="4"/>
  <c r="F53" i="4"/>
  <c r="C7" i="4"/>
  <c r="C46" i="4"/>
  <c r="C49" i="4" s="1"/>
  <c r="D55" i="4"/>
  <c r="D66" i="4" s="1"/>
  <c r="B46" i="4"/>
  <c r="B49" i="4" s="1"/>
  <c r="B7" i="4"/>
  <c r="K85" i="3"/>
  <c r="L85" i="3" s="1"/>
  <c r="M85" i="3" s="1"/>
  <c r="L55" i="3"/>
  <c r="L54" i="3" s="1"/>
  <c r="K62" i="3"/>
  <c r="L62" i="3" s="1"/>
  <c r="M62" i="3" s="1"/>
  <c r="N62" i="3" s="1"/>
  <c r="M124" i="3"/>
  <c r="K116" i="3"/>
  <c r="L116" i="3" s="1"/>
  <c r="L93" i="3"/>
  <c r="M93" i="3" s="1"/>
  <c r="N93" i="3" s="1"/>
  <c r="K120" i="3"/>
  <c r="L178" i="3"/>
  <c r="M178" i="3" s="1"/>
  <c r="N178" i="3" s="1"/>
  <c r="J22" i="3"/>
  <c r="J205" i="3"/>
  <c r="J206" i="3"/>
  <c r="D130" i="3"/>
  <c r="D129" i="3"/>
  <c r="B148" i="3"/>
  <c r="J114" i="3"/>
  <c r="K23" i="3"/>
  <c r="M175" i="3"/>
  <c r="M174" i="3" s="1"/>
  <c r="N174" i="3" s="1"/>
  <c r="N176" i="3"/>
  <c r="N175" i="3" s="1"/>
  <c r="K103" i="3"/>
  <c r="I149" i="3"/>
  <c r="J149" i="3" s="1"/>
  <c r="I148" i="3"/>
  <c r="H9" i="3"/>
  <c r="H10" i="3"/>
  <c r="C9" i="3"/>
  <c r="C10" i="3"/>
  <c r="D9" i="3"/>
  <c r="E183" i="3"/>
  <c r="F183" i="3"/>
  <c r="E184" i="3"/>
  <c r="K162" i="3"/>
  <c r="J161" i="3"/>
  <c r="D98" i="3"/>
  <c r="D99" i="3"/>
  <c r="I99" i="3"/>
  <c r="K99" i="3" s="1"/>
  <c r="L99" i="3" s="1"/>
  <c r="M99" i="3" s="1"/>
  <c r="N99" i="3" s="1"/>
  <c r="I98" i="3"/>
  <c r="K41" i="3"/>
  <c r="K72" i="3"/>
  <c r="I183" i="3"/>
  <c r="I184" i="3"/>
  <c r="K184" i="3" s="1"/>
  <c r="L184" i="3" s="1"/>
  <c r="M184" i="3" s="1"/>
  <c r="N184" i="3" s="1"/>
  <c r="K143" i="3"/>
  <c r="J142" i="3"/>
  <c r="C67" i="3"/>
  <c r="C68" i="3"/>
  <c r="F129" i="3"/>
  <c r="F130" i="3"/>
  <c r="B68" i="3"/>
  <c r="B67" i="3"/>
  <c r="D37" i="3"/>
  <c r="D5" i="3"/>
  <c r="D5" i="4" s="1"/>
  <c r="E36" i="3"/>
  <c r="D36" i="3"/>
  <c r="E67" i="3"/>
  <c r="E68" i="3"/>
  <c r="E5" i="3"/>
  <c r="E5" i="4" s="1"/>
  <c r="K50" i="3"/>
  <c r="J49" i="3"/>
  <c r="C13" i="3"/>
  <c r="C9" i="4" s="1"/>
  <c r="C12" i="3"/>
  <c r="C8" i="4" s="1"/>
  <c r="F67" i="3"/>
  <c r="F68" i="3"/>
  <c r="F5" i="3"/>
  <c r="F5" i="4" s="1"/>
  <c r="H18" i="3"/>
  <c r="H19" i="3"/>
  <c r="I18" i="3"/>
  <c r="I68" i="3"/>
  <c r="K68" i="3" s="1"/>
  <c r="L68" i="3" s="1"/>
  <c r="M68" i="3" s="1"/>
  <c r="N68" i="3" s="1"/>
  <c r="I67" i="3"/>
  <c r="N124" i="3"/>
  <c r="J111" i="3"/>
  <c r="K112" i="3"/>
  <c r="D67" i="3"/>
  <c r="D68" i="3"/>
  <c r="H98" i="3"/>
  <c r="H99" i="3"/>
  <c r="E129" i="3"/>
  <c r="K81" i="3"/>
  <c r="J80" i="3"/>
  <c r="C36" i="3"/>
  <c r="C5" i="3"/>
  <c r="C5" i="4" s="1"/>
  <c r="C37" i="3"/>
  <c r="M55" i="3"/>
  <c r="N56" i="3"/>
  <c r="N55" i="3" s="1"/>
  <c r="M86" i="3"/>
  <c r="N87" i="3"/>
  <c r="N86" i="3" s="1"/>
  <c r="M172" i="3"/>
  <c r="L171" i="3"/>
  <c r="L170" i="3" s="1"/>
  <c r="L121" i="3"/>
  <c r="L120" i="3" s="1"/>
  <c r="M122" i="3"/>
  <c r="L167" i="3"/>
  <c r="M168" i="3"/>
  <c r="L90" i="3"/>
  <c r="L89" i="3" s="1"/>
  <c r="M91" i="3"/>
  <c r="H37" i="3"/>
  <c r="H5" i="3"/>
  <c r="H5" i="4" s="1"/>
  <c r="H36" i="3"/>
  <c r="M60" i="3"/>
  <c r="L59" i="3"/>
  <c r="F203" i="3"/>
  <c r="F202" i="3"/>
  <c r="J202" i="3"/>
  <c r="J208" i="3"/>
  <c r="E148" i="3"/>
  <c r="E149" i="3"/>
  <c r="L134" i="3"/>
  <c r="I37" i="3"/>
  <c r="K37" i="3" s="1"/>
  <c r="L37" i="3" s="1"/>
  <c r="M37" i="3" s="1"/>
  <c r="N37" i="3" s="1"/>
  <c r="I5" i="3"/>
  <c r="I5" i="4" s="1"/>
  <c r="I36" i="3"/>
  <c r="B10" i="3"/>
  <c r="B9" i="3"/>
  <c r="K31" i="3"/>
  <c r="L31" i="3" s="1"/>
  <c r="B16" i="3"/>
  <c r="B4" i="3"/>
  <c r="B4" i="4" s="1"/>
  <c r="B37" i="3"/>
  <c r="B36" i="3"/>
  <c r="B5" i="4"/>
  <c r="L188" i="3"/>
  <c r="K153" i="3"/>
  <c r="C130" i="3"/>
  <c r="C129" i="3"/>
  <c r="J215" i="3"/>
  <c r="K216" i="3"/>
  <c r="C202" i="3"/>
  <c r="C203" i="3"/>
  <c r="D202" i="3"/>
  <c r="H202" i="3"/>
  <c r="H203" i="3"/>
  <c r="H184" i="3"/>
  <c r="H183" i="3"/>
  <c r="H149" i="3"/>
  <c r="H148" i="3"/>
  <c r="G129" i="3"/>
  <c r="G130" i="3"/>
  <c r="G5" i="3"/>
  <c r="G5" i="4" s="1"/>
  <c r="L28" i="3"/>
  <c r="L27" i="3" s="1"/>
  <c r="M29" i="3"/>
  <c r="E98" i="3"/>
  <c r="E99" i="3"/>
  <c r="E18" i="3"/>
  <c r="E19" i="3"/>
  <c r="K58" i="3"/>
  <c r="J52" i="3"/>
  <c r="J66" i="3" s="1"/>
  <c r="I13" i="3"/>
  <c r="I9" i="4" s="1"/>
  <c r="I12" i="3"/>
  <c r="I8" i="4" s="1"/>
  <c r="J100" i="3"/>
  <c r="J107" i="3"/>
  <c r="J84" i="3"/>
  <c r="H68" i="3"/>
  <c r="H67" i="3"/>
  <c r="M24" i="3"/>
  <c r="N25" i="3"/>
  <c r="N24" i="3" s="1"/>
  <c r="M33" i="3"/>
  <c r="L32" i="3"/>
  <c r="K196" i="3"/>
  <c r="L197" i="3"/>
  <c r="I129" i="3"/>
  <c r="D183" i="3"/>
  <c r="D184" i="3"/>
  <c r="C149" i="3"/>
  <c r="C148" i="3"/>
  <c r="M207" i="3"/>
  <c r="L200" i="3"/>
  <c r="L211" i="3"/>
  <c r="L212" i="3" s="1"/>
  <c r="L201" i="3"/>
  <c r="M199" i="3"/>
  <c r="J164" i="3"/>
  <c r="K166" i="3"/>
  <c r="K201" i="3"/>
  <c r="G202" i="3"/>
  <c r="G203" i="3"/>
  <c r="C99" i="3"/>
  <c r="C98" i="3"/>
  <c r="K212" i="3"/>
  <c r="F148" i="3"/>
  <c r="M117" i="3"/>
  <c r="N118" i="3"/>
  <c r="N117" i="3" s="1"/>
  <c r="G67" i="3"/>
  <c r="F98" i="3"/>
  <c r="F18" i="3"/>
  <c r="F19" i="3"/>
  <c r="B13" i="3"/>
  <c r="B9" i="4" s="1"/>
  <c r="B12" i="3"/>
  <c r="B8" i="4" s="1"/>
  <c r="I9" i="3"/>
  <c r="I10" i="3"/>
  <c r="C101" i="1"/>
  <c r="D99" i="1"/>
  <c r="D100" i="1" s="1"/>
  <c r="T20" i="4" l="1"/>
  <c r="M59" i="4"/>
  <c r="T29" i="4"/>
  <c r="L15" i="4" s="1"/>
  <c r="T22" i="4"/>
  <c r="S26" i="4"/>
  <c r="K149" i="3"/>
  <c r="L149" i="3" s="1"/>
  <c r="M149" i="3" s="1"/>
  <c r="N149" i="3" s="1"/>
  <c r="J147" i="3"/>
  <c r="K83" i="3"/>
  <c r="J39" i="3"/>
  <c r="E53" i="4"/>
  <c r="J36" i="3"/>
  <c r="J42" i="3"/>
  <c r="B53" i="4"/>
  <c r="M33" i="4"/>
  <c r="J128" i="3"/>
  <c r="K114" i="3"/>
  <c r="J97" i="3"/>
  <c r="J104" i="3" s="1"/>
  <c r="I49" i="4"/>
  <c r="I53" i="4" s="1"/>
  <c r="H54" i="4"/>
  <c r="H55" i="4" s="1"/>
  <c r="H66" i="4" s="1"/>
  <c r="H53" i="4"/>
  <c r="I24" i="4"/>
  <c r="C54" i="4"/>
  <c r="C55" i="4" s="1"/>
  <c r="C66" i="4" s="1"/>
  <c r="C53" i="4"/>
  <c r="B54" i="4"/>
  <c r="L58" i="3"/>
  <c r="L52" i="3" s="1"/>
  <c r="L83" i="3"/>
  <c r="K164" i="3"/>
  <c r="L166" i="3"/>
  <c r="K142" i="3"/>
  <c r="L143" i="3"/>
  <c r="J182" i="3"/>
  <c r="J195" i="3"/>
  <c r="J185" i="3" s="1"/>
  <c r="J165" i="3"/>
  <c r="J192" i="3"/>
  <c r="J193" i="3" s="1"/>
  <c r="L50" i="3"/>
  <c r="K49" i="3"/>
  <c r="N85" i="3"/>
  <c r="L202" i="3"/>
  <c r="N207" i="3"/>
  <c r="L153" i="3"/>
  <c r="N60" i="3"/>
  <c r="N59" i="3" s="1"/>
  <c r="M59" i="3"/>
  <c r="M58" i="3" s="1"/>
  <c r="N58" i="3" s="1"/>
  <c r="J102" i="3"/>
  <c r="J101" i="3"/>
  <c r="C7" i="3"/>
  <c r="E6" i="3"/>
  <c r="E7" i="3"/>
  <c r="L103" i="3"/>
  <c r="B7" i="3"/>
  <c r="L41" i="3"/>
  <c r="M54" i="3"/>
  <c r="N122" i="3"/>
  <c r="N121" i="3" s="1"/>
  <c r="M121" i="3"/>
  <c r="M120" i="3" s="1"/>
  <c r="N120" i="3" s="1"/>
  <c r="M170" i="3"/>
  <c r="M200" i="3"/>
  <c r="M211" i="3"/>
  <c r="M212" i="3" s="1"/>
  <c r="M201" i="3"/>
  <c r="N199" i="3"/>
  <c r="M188" i="3"/>
  <c r="H7" i="3"/>
  <c r="H6" i="3"/>
  <c r="K111" i="3"/>
  <c r="L112" i="3"/>
  <c r="N172" i="3"/>
  <c r="N171" i="3" s="1"/>
  <c r="M171" i="3"/>
  <c r="L72" i="3"/>
  <c r="L114" i="3"/>
  <c r="M116" i="3"/>
  <c r="N29" i="3"/>
  <c r="N28" i="3" s="1"/>
  <c r="M28" i="3"/>
  <c r="M27" i="3" s="1"/>
  <c r="L81" i="3"/>
  <c r="K80" i="3"/>
  <c r="L162" i="3"/>
  <c r="K161" i="3"/>
  <c r="J45" i="3"/>
  <c r="K141" i="3"/>
  <c r="K131" i="3" s="1"/>
  <c r="K115" i="3"/>
  <c r="K138" i="3"/>
  <c r="M134" i="3"/>
  <c r="M167" i="3"/>
  <c r="N168" i="3"/>
  <c r="N167" i="3" s="1"/>
  <c r="K21" i="3"/>
  <c r="L23" i="3"/>
  <c r="K110" i="3"/>
  <c r="K100" i="3" s="1"/>
  <c r="K107" i="3"/>
  <c r="K108" i="3" s="1"/>
  <c r="K97" i="3"/>
  <c r="K84" i="3"/>
  <c r="K52" i="3"/>
  <c r="M32" i="3"/>
  <c r="M31" i="3" s="1"/>
  <c r="N33" i="3"/>
  <c r="N32" i="3" s="1"/>
  <c r="K215" i="3"/>
  <c r="L216" i="3"/>
  <c r="K214" i="3"/>
  <c r="K204" i="3" s="1"/>
  <c r="J210" i="3"/>
  <c r="J209" i="3"/>
  <c r="F6" i="3"/>
  <c r="F7" i="3"/>
  <c r="I7" i="3"/>
  <c r="I6" i="3"/>
  <c r="N91" i="3"/>
  <c r="N90" i="3" s="1"/>
  <c r="M90" i="3"/>
  <c r="M89" i="3" s="1"/>
  <c r="K202" i="3"/>
  <c r="L196" i="3"/>
  <c r="M197" i="3"/>
  <c r="J76" i="3"/>
  <c r="J79" i="3"/>
  <c r="J69" i="3" s="1"/>
  <c r="J53" i="3"/>
  <c r="G7" i="3"/>
  <c r="G6" i="3"/>
  <c r="D6" i="3"/>
  <c r="D7" i="3"/>
  <c r="J138" i="3"/>
  <c r="J115" i="3"/>
  <c r="J141" i="3"/>
  <c r="J131" i="3" s="1"/>
  <c r="D101" i="1"/>
  <c r="E99" i="1"/>
  <c r="E100" i="1" s="1"/>
  <c r="U20" i="4" l="1"/>
  <c r="N59" i="4"/>
  <c r="U29" i="4"/>
  <c r="M15" i="4" s="1"/>
  <c r="U22" i="4"/>
  <c r="T26" i="4"/>
  <c r="J98" i="3"/>
  <c r="I54" i="4"/>
  <c r="I55" i="4" s="1"/>
  <c r="I66" i="4" s="1"/>
  <c r="C68" i="4"/>
  <c r="N33" i="4"/>
  <c r="B55" i="4"/>
  <c r="B66" i="4" s="1"/>
  <c r="K130" i="3"/>
  <c r="L130" i="3" s="1"/>
  <c r="M130" i="3" s="1"/>
  <c r="N130" i="3" s="1"/>
  <c r="J135" i="3"/>
  <c r="N170" i="3"/>
  <c r="N27" i="3"/>
  <c r="K139" i="3"/>
  <c r="N31" i="3"/>
  <c r="N89" i="3"/>
  <c r="M83" i="3"/>
  <c r="K102" i="3"/>
  <c r="K101" i="3"/>
  <c r="M112" i="3"/>
  <c r="L111" i="3"/>
  <c r="J67" i="3"/>
  <c r="J73" i="3"/>
  <c r="J71" i="3"/>
  <c r="J70" i="3"/>
  <c r="J133" i="3"/>
  <c r="J132" i="3"/>
  <c r="N134" i="3"/>
  <c r="M41" i="3"/>
  <c r="M153" i="3"/>
  <c r="N197" i="3"/>
  <c r="N196" i="3" s="1"/>
  <c r="M196" i="3"/>
  <c r="J46" i="3"/>
  <c r="N188" i="3"/>
  <c r="K205" i="3"/>
  <c r="K206" i="3"/>
  <c r="M52" i="3"/>
  <c r="N54" i="3"/>
  <c r="N52" i="3" s="1"/>
  <c r="M216" i="3"/>
  <c r="L215" i="3"/>
  <c r="L214" i="3"/>
  <c r="L204" i="3" s="1"/>
  <c r="L79" i="3"/>
  <c r="L69" i="3" s="1"/>
  <c r="L66" i="3"/>
  <c r="L53" i="3"/>
  <c r="L76" i="3"/>
  <c r="K104" i="3"/>
  <c r="K98" i="3"/>
  <c r="K192" i="3"/>
  <c r="K193" i="3" s="1"/>
  <c r="K165" i="3"/>
  <c r="K182" i="3"/>
  <c r="K195" i="3"/>
  <c r="K185" i="3" s="1"/>
  <c r="L141" i="3"/>
  <c r="L131" i="3" s="1"/>
  <c r="L128" i="3"/>
  <c r="L115" i="3"/>
  <c r="L138" i="3"/>
  <c r="L139" i="3" s="1"/>
  <c r="J186" i="3"/>
  <c r="J187" i="3"/>
  <c r="K48" i="3"/>
  <c r="K35" i="3"/>
  <c r="K45" i="3"/>
  <c r="K22" i="3"/>
  <c r="K133" i="3"/>
  <c r="K132" i="3"/>
  <c r="N211" i="3"/>
  <c r="N212" i="3" s="1"/>
  <c r="N201" i="3"/>
  <c r="N200" i="3"/>
  <c r="J189" i="3"/>
  <c r="J183" i="3"/>
  <c r="L164" i="3"/>
  <c r="M166" i="3"/>
  <c r="M114" i="3"/>
  <c r="N116" i="3"/>
  <c r="N114" i="3" s="1"/>
  <c r="M50" i="3"/>
  <c r="L49" i="3"/>
  <c r="J129" i="3"/>
  <c r="L107" i="3"/>
  <c r="L108" i="3" s="1"/>
  <c r="L97" i="3"/>
  <c r="L110" i="3"/>
  <c r="L100" i="3" s="1"/>
  <c r="L84" i="3"/>
  <c r="K208" i="3"/>
  <c r="K79" i="3"/>
  <c r="K69" i="3" s="1"/>
  <c r="K66" i="3"/>
  <c r="K53" i="3"/>
  <c r="K76" i="3"/>
  <c r="K77" i="3" s="1"/>
  <c r="L21" i="3"/>
  <c r="M23" i="3"/>
  <c r="L161" i="3"/>
  <c r="M162" i="3"/>
  <c r="M72" i="3"/>
  <c r="M81" i="3"/>
  <c r="L80" i="3"/>
  <c r="M202" i="3"/>
  <c r="J105" i="3"/>
  <c r="J106" i="3"/>
  <c r="M103" i="3"/>
  <c r="N83" i="3"/>
  <c r="L142" i="3"/>
  <c r="M143" i="3"/>
  <c r="F99" i="1"/>
  <c r="F100" i="1" s="1"/>
  <c r="E101" i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V20" i="4" l="1"/>
  <c r="U26" i="4"/>
  <c r="V29" i="4"/>
  <c r="N15" i="4" s="1"/>
  <c r="V22" i="4"/>
  <c r="D67" i="4"/>
  <c r="D68" i="4" s="1"/>
  <c r="C69" i="4"/>
  <c r="K128" i="3"/>
  <c r="N72" i="3"/>
  <c r="L192" i="3"/>
  <c r="L193" i="3" s="1"/>
  <c r="L195" i="3"/>
  <c r="L185" i="3" s="1"/>
  <c r="L182" i="3"/>
  <c r="L165" i="3"/>
  <c r="L73" i="3"/>
  <c r="L67" i="3"/>
  <c r="J40" i="3"/>
  <c r="J74" i="3"/>
  <c r="J75" i="3"/>
  <c r="N143" i="3"/>
  <c r="N142" i="3" s="1"/>
  <c r="M142" i="3"/>
  <c r="N84" i="3"/>
  <c r="N97" i="3"/>
  <c r="N107" i="3"/>
  <c r="M80" i="3"/>
  <c r="N81" i="3"/>
  <c r="N80" i="3" s="1"/>
  <c r="M161" i="3"/>
  <c r="N162" i="3"/>
  <c r="N161" i="3" s="1"/>
  <c r="K67" i="3"/>
  <c r="K73" i="3"/>
  <c r="J136" i="3"/>
  <c r="J137" i="3"/>
  <c r="J190" i="3"/>
  <c r="J191" i="3"/>
  <c r="K46" i="3"/>
  <c r="L205" i="3"/>
  <c r="L206" i="3"/>
  <c r="L208" i="3"/>
  <c r="K210" i="3"/>
  <c r="K209" i="3"/>
  <c r="K105" i="3"/>
  <c r="K106" i="3"/>
  <c r="M111" i="3"/>
  <c r="N112" i="3"/>
  <c r="N111" i="3" s="1"/>
  <c r="K71" i="3"/>
  <c r="K70" i="3"/>
  <c r="M49" i="3"/>
  <c r="N50" i="3"/>
  <c r="N49" i="3" s="1"/>
  <c r="L135" i="3"/>
  <c r="L129" i="3"/>
  <c r="N216" i="3"/>
  <c r="M215" i="3"/>
  <c r="M214" i="3"/>
  <c r="M204" i="3" s="1"/>
  <c r="N103" i="3"/>
  <c r="N202" i="3"/>
  <c r="N23" i="3"/>
  <c r="N21" i="3" s="1"/>
  <c r="M21" i="3"/>
  <c r="N115" i="3"/>
  <c r="N128" i="3"/>
  <c r="N138" i="3"/>
  <c r="K38" i="3"/>
  <c r="L133" i="3"/>
  <c r="L132" i="3"/>
  <c r="N53" i="3"/>
  <c r="N76" i="3"/>
  <c r="N66" i="3"/>
  <c r="N153" i="3"/>
  <c r="J44" i="3"/>
  <c r="J43" i="3"/>
  <c r="L102" i="3"/>
  <c r="L101" i="3"/>
  <c r="K36" i="3"/>
  <c r="L35" i="3"/>
  <c r="L22" i="3"/>
  <c r="L45" i="3"/>
  <c r="L48" i="3"/>
  <c r="L98" i="3"/>
  <c r="L104" i="3"/>
  <c r="M138" i="3"/>
  <c r="M139" i="3" s="1"/>
  <c r="M128" i="3"/>
  <c r="M141" i="3"/>
  <c r="M131" i="3" s="1"/>
  <c r="M115" i="3"/>
  <c r="K186" i="3"/>
  <c r="K187" i="3"/>
  <c r="L77" i="3"/>
  <c r="M53" i="3"/>
  <c r="M66" i="3"/>
  <c r="M79" i="3"/>
  <c r="M69" i="3" s="1"/>
  <c r="M76" i="3"/>
  <c r="M77" i="3" s="1"/>
  <c r="M97" i="3"/>
  <c r="M110" i="3"/>
  <c r="M100" i="3" s="1"/>
  <c r="M107" i="3"/>
  <c r="M108" i="3" s="1"/>
  <c r="M84" i="3"/>
  <c r="L70" i="3"/>
  <c r="L71" i="3"/>
  <c r="M164" i="3"/>
  <c r="N166" i="3"/>
  <c r="N164" i="3" s="1"/>
  <c r="K183" i="3"/>
  <c r="K189" i="3"/>
  <c r="N41" i="3"/>
  <c r="G99" i="1"/>
  <c r="G100" i="1" s="1"/>
  <c r="F101" i="1"/>
  <c r="V26" i="4" l="1"/>
  <c r="E67" i="4"/>
  <c r="E68" i="4" s="1"/>
  <c r="D69" i="4"/>
  <c r="K42" i="3"/>
  <c r="K43" i="3" s="1"/>
  <c r="K39" i="3"/>
  <c r="N79" i="3"/>
  <c r="N69" i="3" s="1"/>
  <c r="N73" i="3" s="1"/>
  <c r="N141" i="3"/>
  <c r="N131" i="3" s="1"/>
  <c r="N135" i="3" s="1"/>
  <c r="K135" i="3"/>
  <c r="L136" i="3" s="1"/>
  <c r="K129" i="3"/>
  <c r="N77" i="3"/>
  <c r="M101" i="3"/>
  <c r="M102" i="3"/>
  <c r="M70" i="3"/>
  <c r="M71" i="3"/>
  <c r="L106" i="3"/>
  <c r="L105" i="3"/>
  <c r="K191" i="3"/>
  <c r="K190" i="3"/>
  <c r="N129" i="3"/>
  <c r="M206" i="3"/>
  <c r="M205" i="3"/>
  <c r="M208" i="3"/>
  <c r="N110" i="3"/>
  <c r="N100" i="3" s="1"/>
  <c r="M98" i="3"/>
  <c r="M104" i="3"/>
  <c r="L38" i="3"/>
  <c r="L39" i="3" s="1"/>
  <c r="L74" i="3"/>
  <c r="L75" i="3"/>
  <c r="N67" i="3"/>
  <c r="N165" i="3"/>
  <c r="N192" i="3"/>
  <c r="N182" i="3"/>
  <c r="N195" i="3"/>
  <c r="N185" i="3" s="1"/>
  <c r="L46" i="3"/>
  <c r="N215" i="3"/>
  <c r="N214" i="3"/>
  <c r="N204" i="3" s="1"/>
  <c r="L209" i="3"/>
  <c r="L210" i="3"/>
  <c r="L183" i="3"/>
  <c r="L189" i="3"/>
  <c r="M165" i="3"/>
  <c r="M195" i="3"/>
  <c r="M185" i="3" s="1"/>
  <c r="M182" i="3"/>
  <c r="M192" i="3"/>
  <c r="M193" i="3" s="1"/>
  <c r="L137" i="3"/>
  <c r="L186" i="3"/>
  <c r="L187" i="3"/>
  <c r="M22" i="3"/>
  <c r="M45" i="3"/>
  <c r="M35" i="3"/>
  <c r="M48" i="3"/>
  <c r="M67" i="3"/>
  <c r="M73" i="3"/>
  <c r="M133" i="3"/>
  <c r="M132" i="3"/>
  <c r="N22" i="3"/>
  <c r="N45" i="3"/>
  <c r="N35" i="3"/>
  <c r="N48" i="3"/>
  <c r="N38" i="3" s="1"/>
  <c r="M129" i="3"/>
  <c r="M135" i="3"/>
  <c r="L36" i="3"/>
  <c r="K40" i="3"/>
  <c r="N108" i="3"/>
  <c r="N98" i="3"/>
  <c r="N139" i="3"/>
  <c r="K74" i="3"/>
  <c r="K75" i="3"/>
  <c r="H99" i="1"/>
  <c r="H100" i="1" s="1"/>
  <c r="G101" i="1"/>
  <c r="F67" i="4" l="1"/>
  <c r="F68" i="4" s="1"/>
  <c r="E69" i="4"/>
  <c r="K44" i="3"/>
  <c r="N132" i="3"/>
  <c r="N133" i="3"/>
  <c r="K136" i="3"/>
  <c r="K137" i="3"/>
  <c r="N101" i="3"/>
  <c r="N102" i="3"/>
  <c r="N104" i="3"/>
  <c r="N46" i="3"/>
  <c r="M186" i="3"/>
  <c r="M187" i="3"/>
  <c r="N40" i="3"/>
  <c r="N75" i="3"/>
  <c r="N74" i="3"/>
  <c r="M106" i="3"/>
  <c r="M105" i="3"/>
  <c r="M183" i="3"/>
  <c r="M189" i="3"/>
  <c r="M137" i="3"/>
  <c r="M136" i="3"/>
  <c r="N193" i="3"/>
  <c r="M46" i="3"/>
  <c r="L40" i="3"/>
  <c r="N137" i="3"/>
  <c r="N136" i="3"/>
  <c r="L42" i="3"/>
  <c r="M75" i="3"/>
  <c r="M74" i="3"/>
  <c r="L191" i="3"/>
  <c r="L190" i="3"/>
  <c r="N206" i="3"/>
  <c r="N205" i="3"/>
  <c r="N208" i="3"/>
  <c r="M209" i="3"/>
  <c r="M210" i="3"/>
  <c r="N70" i="3"/>
  <c r="N71" i="3"/>
  <c r="M38" i="3"/>
  <c r="N186" i="3"/>
  <c r="N187" i="3"/>
  <c r="N36" i="3"/>
  <c r="N42" i="3"/>
  <c r="M36" i="3"/>
  <c r="N189" i="3"/>
  <c r="N183" i="3"/>
  <c r="I99" i="1"/>
  <c r="I100" i="1" s="1"/>
  <c r="I101" i="1" s="1"/>
  <c r="H101" i="1"/>
  <c r="G67" i="4" l="1"/>
  <c r="G68" i="4" s="1"/>
  <c r="F69" i="4"/>
  <c r="M42" i="3"/>
  <c r="M43" i="3" s="1"/>
  <c r="M39" i="3"/>
  <c r="N39" i="3"/>
  <c r="L43" i="3"/>
  <c r="L44" i="3"/>
  <c r="N209" i="3"/>
  <c r="N210" i="3"/>
  <c r="M191" i="3"/>
  <c r="M190" i="3"/>
  <c r="N106" i="3"/>
  <c r="N105" i="3"/>
  <c r="N44" i="3"/>
  <c r="N43" i="3"/>
  <c r="N190" i="3"/>
  <c r="N191" i="3"/>
  <c r="M40" i="3"/>
  <c r="H1" i="1"/>
  <c r="G1" i="1" s="1"/>
  <c r="F1" i="1" s="1"/>
  <c r="E1" i="1" s="1"/>
  <c r="D1" i="1" s="1"/>
  <c r="C1" i="1" s="1"/>
  <c r="B1" i="1" s="1"/>
  <c r="H67" i="4" l="1"/>
  <c r="H68" i="4" s="1"/>
  <c r="G69" i="4"/>
  <c r="M44" i="3"/>
  <c r="H69" i="4" l="1"/>
  <c r="I67" i="4"/>
  <c r="I68" i="4" s="1"/>
  <c r="I69" i="4" s="1"/>
  <c r="J160" i="3"/>
  <c r="J157" i="3"/>
  <c r="J14" i="3" s="1"/>
  <c r="J3" i="3"/>
  <c r="J67" i="4" l="1"/>
  <c r="J50" i="4" s="1"/>
  <c r="J58" i="4" s="1"/>
  <c r="J15" i="3"/>
  <c r="J16" i="3"/>
  <c r="J3" i="4"/>
  <c r="J23" i="4" s="1"/>
  <c r="J4" i="3"/>
  <c r="J4" i="4" s="1"/>
  <c r="J150" i="3"/>
  <c r="J17" i="3"/>
  <c r="J51" i="4" l="1"/>
  <c r="J151" i="3"/>
  <c r="J8" i="3"/>
  <c r="J152" i="3"/>
  <c r="J18" i="3"/>
  <c r="J19" i="3"/>
  <c r="J10" i="3" l="1"/>
  <c r="J47" i="4"/>
  <c r="J26" i="4" s="1"/>
  <c r="J9" i="3"/>
  <c r="J6" i="4"/>
  <c r="K3" i="3"/>
  <c r="K157" i="3" l="1"/>
  <c r="L157" i="3"/>
  <c r="K3" i="4"/>
  <c r="K4" i="3"/>
  <c r="K4" i="4" s="1"/>
  <c r="L158" i="3"/>
  <c r="L14" i="3"/>
  <c r="K160" i="3"/>
  <c r="K150" i="3" s="1"/>
  <c r="L160" i="3"/>
  <c r="L150" i="3" s="1"/>
  <c r="L3" i="3" l="1"/>
  <c r="L4" i="3" s="1"/>
  <c r="L4" i="4" s="1"/>
  <c r="K158" i="3"/>
  <c r="K14" i="3"/>
  <c r="K17" i="3"/>
  <c r="L17" i="3"/>
  <c r="M157" i="3"/>
  <c r="M3" i="3"/>
  <c r="M160" i="3"/>
  <c r="M150" i="3" s="1"/>
  <c r="L15" i="3" l="1"/>
  <c r="L16" i="3"/>
  <c r="L3" i="4"/>
  <c r="K16" i="3"/>
  <c r="K15" i="3"/>
  <c r="L152" i="3"/>
  <c r="L151" i="3"/>
  <c r="L8" i="3"/>
  <c r="L47" i="4" s="1"/>
  <c r="M17" i="3"/>
  <c r="M158" i="3"/>
  <c r="M14" i="3"/>
  <c r="L19" i="3"/>
  <c r="L18" i="3"/>
  <c r="K18" i="3"/>
  <c r="K19" i="3"/>
  <c r="M4" i="3"/>
  <c r="M4" i="4" s="1"/>
  <c r="M3" i="4"/>
  <c r="N3" i="3"/>
  <c r="N157" i="3"/>
  <c r="N160" i="3"/>
  <c r="N150" i="3" s="1"/>
  <c r="K8" i="3"/>
  <c r="K47" i="4" s="1"/>
  <c r="K26" i="4" s="1"/>
  <c r="L26" i="4" s="1"/>
  <c r="K151" i="3"/>
  <c r="K152" i="3"/>
  <c r="L9" i="3" l="1"/>
  <c r="L10" i="3"/>
  <c r="L6" i="4"/>
  <c r="N17" i="3"/>
  <c r="N14" i="3"/>
  <c r="N158" i="3"/>
  <c r="M16" i="3"/>
  <c r="M15" i="3"/>
  <c r="N3" i="4"/>
  <c r="N4" i="3"/>
  <c r="N4" i="4" s="1"/>
  <c r="M8" i="3"/>
  <c r="M47" i="4" s="1"/>
  <c r="M26" i="4" s="1"/>
  <c r="M152" i="3"/>
  <c r="M151" i="3"/>
  <c r="M19" i="3"/>
  <c r="M18" i="3"/>
  <c r="K9" i="3"/>
  <c r="K6" i="4"/>
  <c r="K10" i="3"/>
  <c r="M9" i="3" l="1"/>
  <c r="M10" i="3"/>
  <c r="M6" i="4"/>
  <c r="N15" i="3"/>
  <c r="N16" i="3"/>
  <c r="N19" i="3"/>
  <c r="N18" i="3"/>
  <c r="N152" i="3"/>
  <c r="N151" i="3"/>
  <c r="N8" i="3"/>
  <c r="N47" i="4" s="1"/>
  <c r="N26" i="4" s="1"/>
  <c r="N6" i="4" l="1"/>
  <c r="N9" i="3"/>
  <c r="N10" i="3"/>
  <c r="J5" i="3"/>
  <c r="J154" i="3" l="1"/>
  <c r="J156" i="3" s="1"/>
  <c r="J155" i="3"/>
  <c r="J5" i="4"/>
  <c r="J6" i="3"/>
  <c r="J11" i="3"/>
  <c r="J7" i="3"/>
  <c r="J13" i="3" l="1"/>
  <c r="J9" i="4" s="1"/>
  <c r="J7" i="4"/>
  <c r="J12" i="3"/>
  <c r="J8" i="4" s="1"/>
  <c r="K147" i="3"/>
  <c r="K154" i="3" s="1"/>
  <c r="L147" i="3"/>
  <c r="L154" i="3" s="1"/>
  <c r="M147" i="3"/>
  <c r="N147" i="3"/>
  <c r="N154" i="3" s="1"/>
  <c r="J46" i="4" l="1"/>
  <c r="L5" i="3"/>
  <c r="L7" i="3" s="1"/>
  <c r="K155" i="3"/>
  <c r="K156" i="3"/>
  <c r="K5" i="3"/>
  <c r="L155" i="3"/>
  <c r="L156" i="3"/>
  <c r="N156" i="3"/>
  <c r="N5" i="3"/>
  <c r="M5" i="3"/>
  <c r="M154" i="3"/>
  <c r="L6" i="3" l="1"/>
  <c r="L11" i="3"/>
  <c r="L5" i="4"/>
  <c r="K6" i="3"/>
  <c r="K7" i="3"/>
  <c r="K5" i="4"/>
  <c r="K11" i="3"/>
  <c r="M11" i="3"/>
  <c r="M6" i="3"/>
  <c r="M7" i="3"/>
  <c r="M5" i="4"/>
  <c r="N11" i="3"/>
  <c r="N5" i="4"/>
  <c r="N7" i="3"/>
  <c r="N6" i="3"/>
  <c r="M156" i="3"/>
  <c r="M155" i="3"/>
  <c r="N155" i="3"/>
  <c r="L13" i="3"/>
  <c r="L9" i="4" s="1"/>
  <c r="L7" i="4"/>
  <c r="L46" i="4" l="1"/>
  <c r="K12" i="3"/>
  <c r="K8" i="4" s="1"/>
  <c r="K7" i="4"/>
  <c r="K13" i="3"/>
  <c r="K9" i="4" s="1"/>
  <c r="L12" i="3"/>
  <c r="L8" i="4" s="1"/>
  <c r="N7" i="4"/>
  <c r="N12" i="3"/>
  <c r="N8" i="4" s="1"/>
  <c r="N13" i="3"/>
  <c r="N9" i="4" s="1"/>
  <c r="M12" i="3"/>
  <c r="M8" i="4" s="1"/>
  <c r="M13" i="3"/>
  <c r="M9" i="4" s="1"/>
  <c r="M7" i="4"/>
  <c r="M46" i="4" l="1"/>
  <c r="N46" i="4"/>
  <c r="K46" i="4"/>
  <c r="N23" i="4" l="1"/>
  <c r="M23" i="4"/>
  <c r="N51" i="4" s="1"/>
  <c r="L23" i="4"/>
  <c r="M51" i="4" s="1"/>
  <c r="K23" i="4"/>
  <c r="L51" i="4" l="1"/>
  <c r="K51" i="4"/>
  <c r="J10" i="4"/>
  <c r="J11" i="4" s="1"/>
  <c r="J12" i="4" l="1"/>
  <c r="J48" i="4" s="1"/>
  <c r="J49" i="4" s="1"/>
  <c r="J55" i="4" l="1"/>
  <c r="J53" i="4"/>
  <c r="J14" i="4"/>
  <c r="J16" i="4" s="1"/>
  <c r="J17" i="4" s="1"/>
  <c r="J61" i="4" s="1"/>
  <c r="J41" i="4" s="1"/>
  <c r="J39" i="4" s="1"/>
  <c r="J43" i="4" s="1"/>
  <c r="J18" i="4" l="1"/>
  <c r="J64" i="4"/>
  <c r="J66" i="4" s="1"/>
  <c r="J68" i="4" s="1"/>
  <c r="J70" i="4" l="1"/>
  <c r="J21" i="4"/>
  <c r="J31" i="4" s="1"/>
  <c r="J44" i="4" s="1"/>
  <c r="K67" i="4"/>
  <c r="K50" i="4" l="1"/>
  <c r="K58" i="4" s="1"/>
  <c r="K10" i="4" l="1"/>
  <c r="K11" i="4" s="1"/>
  <c r="K12" i="4" s="1"/>
  <c r="K48" i="4" s="1"/>
  <c r="K49" i="4" s="1"/>
  <c r="K14" i="4" l="1"/>
  <c r="K16" i="4" s="1"/>
  <c r="K17" i="4" s="1"/>
  <c r="K55" i="4"/>
  <c r="K53" i="4"/>
  <c r="K61" i="4" l="1"/>
  <c r="K64" i="4" s="1"/>
  <c r="K66" i="4" s="1"/>
  <c r="K68" i="4" s="1"/>
  <c r="K18" i="4"/>
  <c r="K21" i="4" l="1"/>
  <c r="K31" i="4" s="1"/>
  <c r="L67" i="4"/>
  <c r="L50" i="4" s="1"/>
  <c r="L58" i="4" s="1"/>
  <c r="K70" i="4"/>
  <c r="K41" i="4"/>
  <c r="K39" i="4" s="1"/>
  <c r="K43" i="4" s="1"/>
  <c r="K44" i="4" l="1"/>
  <c r="L10" i="4"/>
  <c r="L11" i="4" s="1"/>
  <c r="L12" i="4" s="1"/>
  <c r="L48" i="4" s="1"/>
  <c r="L49" i="4" s="1"/>
  <c r="L53" i="4" l="1"/>
  <c r="L55" i="4"/>
  <c r="L14" i="4"/>
  <c r="L16" i="4" l="1"/>
  <c r="L17" i="4" s="1"/>
  <c r="L18" i="4" l="1"/>
  <c r="L61" i="4"/>
  <c r="L64" i="4" l="1"/>
  <c r="L66" i="4" s="1"/>
  <c r="L68" i="4" s="1"/>
  <c r="L41" i="4"/>
  <c r="L39" i="4" s="1"/>
  <c r="L43" i="4" s="1"/>
  <c r="L70" i="4" l="1"/>
  <c r="L21" i="4"/>
  <c r="L31" i="4" s="1"/>
  <c r="L44" i="4" s="1"/>
  <c r="M67" i="4"/>
  <c r="M50" i="4" s="1"/>
  <c r="M58" i="4" l="1"/>
  <c r="M10" i="4"/>
  <c r="M11" i="4" s="1"/>
  <c r="M12" i="4" l="1"/>
  <c r="M48" i="4" s="1"/>
  <c r="M49" i="4" s="1"/>
  <c r="M14" i="4" l="1"/>
  <c r="M16" i="4" s="1"/>
  <c r="M17" i="4" s="1"/>
  <c r="M55" i="4"/>
  <c r="M53" i="4"/>
  <c r="M18" i="4" l="1"/>
  <c r="M61" i="4"/>
  <c r="M64" i="4" l="1"/>
  <c r="M66" i="4" s="1"/>
  <c r="M68" i="4" s="1"/>
  <c r="M41" i="4"/>
  <c r="M39" i="4" s="1"/>
  <c r="M43" i="4" s="1"/>
  <c r="M70" i="4" l="1"/>
  <c r="M21" i="4"/>
  <c r="M31" i="4" s="1"/>
  <c r="M44" i="4" s="1"/>
  <c r="N67" i="4"/>
  <c r="N50" i="4" s="1"/>
  <c r="N58" i="4" l="1"/>
  <c r="N10" i="4"/>
  <c r="N11" i="4" s="1"/>
  <c r="N12" i="4" l="1"/>
  <c r="N48" i="4" s="1"/>
  <c r="N49" i="4" s="1"/>
  <c r="N14" i="4"/>
  <c r="N16" i="4" l="1"/>
  <c r="N17" i="4" s="1"/>
  <c r="N53" i="4"/>
  <c r="N55" i="4"/>
  <c r="N18" i="4" l="1"/>
  <c r="N61" i="4"/>
  <c r="N64" i="4" l="1"/>
  <c r="N66" i="4" s="1"/>
  <c r="N68" i="4" s="1"/>
  <c r="N41" i="4"/>
  <c r="N39" i="4" s="1"/>
  <c r="N43" i="4" s="1"/>
  <c r="N21" i="4" l="1"/>
  <c r="N31" i="4" s="1"/>
  <c r="N44" i="4" s="1"/>
  <c r="N7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7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<sst xmlns="http://schemas.openxmlformats.org/spreadsheetml/2006/main" count="591" uniqueCount="270">
  <si>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</si>
  <si>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</si>
  <si>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</si>
  <si>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</si>
  <si>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</si>
  <si>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</si>
  <si>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</si>
  <si>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</si>
  <si>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</si>
  <si>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</si>
  <si>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</si>
  <si>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</si>
  <si>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</si>
  <si>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</si>
  <si>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</si>
  <si>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</si>
  <si>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</si>
  <si>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</si>
  <si>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</si>
  <si>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</si>
  <si>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</si>
  <si>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</si>
  <si>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</si>
  <si>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</si>
  <si>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</si>
  <si>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</si>
  <si>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</si>
  <si>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</si>
  <si>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</si>
  <si>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</si>
  <si>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</si>
  <si>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</si>
  <si>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</si>
  <si>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</si>
  <si>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</si>
  <si>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</si>
  <si>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</si>
  <si>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</si>
  <si>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</si>
  <si>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</si>
  <si>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</si>
  <si>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</si>
  <si>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</si>
  <si>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</si>
  <si>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</si>
  <si>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</si>
  <si>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</si>
  <si>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</si>
  <si>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</si>
  <si>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</si>
  <si>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</si>
  <si>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</si>
  <si>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</si>
  <si>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</si>
  <si>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</si>
  <si>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</si>
  <si>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</si>
  <si>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</si>
  <si>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</si>
  <si>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</si>
  <si>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</si>
  <si>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</si>
  <si>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</si>
  <si>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</si>
  <si>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</si>
  <si>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</si>
  <si>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</si>
  <si>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</si>
  <si>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</si>
  <si>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</si>
  <si>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</si>
  <si>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</si>
  <si>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</si>
  <si>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</si>
  <si>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</si>
  <si>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</si>
  <si>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</si>
  <si>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</si>
  <si>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</si>
  <si>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</si>
  <si>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</si>
  <si>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</si>
  <si>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</si>
  <si>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</si>
  <si>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</si>
  <si>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</si>
  <si>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</si>
  <si>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</si>
  <si>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</si>
  <si>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</si>
  <si>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</si>
  <si>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</si>
  <si>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</si>
  <si>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</si>
  <si>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</si>
  <si>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</si>
  <si>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</si>
  <si>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</si>
  <si>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</si>
  <si>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</si>
  <si>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</si>
  <si>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</si>
  <si>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</si>
  <si>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</si>
  <si>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</si>
  <si>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</si>
  <si>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</si>
  <si>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</si>
  <si>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</si>
  <si>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</si>
  <si>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</si>
  <si>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</si>
  <si>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</si>
  <si>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</si>
  <si>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</si>
  <si>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</si>
  <si>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</si>
  <si>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</si>
  <si>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</si>
  <si>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</si>
  <si>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</si>
  <si>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</si>
  <si>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</si>
  <si>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</si>
  <si>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</si>
  <si>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</si>
  <si>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</si>
  <si>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</si>
  <si>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</si>
  <si>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</si>
  <si>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</si>
  <si>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</si>
  <si>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</si>
  <si>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</si>
  <si>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</si>
  <si>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</si>
  <si>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</si>
  <si>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</si>
  <si>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</si>
  <si>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</si>
  <si>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</si>
  <si>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</si>
  <si>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</si>
  <si>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</si>
  <si>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</si>
  <si>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</si>
  <si>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</si>
  <si>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</si>
  <si>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You are required to forecast each of the three segments</t>
  </si>
  <si>
    <t>Guidance:</t>
  </si>
  <si>
    <t>You can assign growth rates based on the historical trends you have observed in revenue growth.</t>
  </si>
  <si>
    <t>You can also keep the growth rates consistent with the pervious year if you feel that there will not be significant change in a particular product line.</t>
  </si>
  <si>
    <t>Please ensure to write your justifications and assumptions for each lines where you have assumed a forecast rate.</t>
  </si>
  <si>
    <t>You are required to read the earnings call transcript and earnings presentation in additional to company press releases on key product lines and new developments.</t>
  </si>
  <si>
    <t>You can keep the currency impact at zero and drive only the organic growth.</t>
  </si>
  <si>
    <t>You can take up to 7 days for this task.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</si>
  <si>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</si>
  <si>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</si>
  <si>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</si>
  <si>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</si>
  <si>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</si>
  <si>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</si>
  <si>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</si>
  <si>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</si>
  <si>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</si>
  <si>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</si>
  <si>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</si>
  <si>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</si>
  <si>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</si>
  <si>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</si>
  <si>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</si>
  <si>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</si>
  <si>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</si>
  <si>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</si>
  <si>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</si>
  <si>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</si>
  <si>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</si>
  <si>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</si>
  <si>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</si>
  <si>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</si>
  <si>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</si>
  <si>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</si>
  <si>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</si>
  <si>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</si>
  <si>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 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</si>
  <si>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</si>
  <si>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</si>
  <si>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</si>
  <si>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</si>
  <si>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</si>
  <si>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</si>
  <si>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</si>
  <si>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</si>
  <si>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</si>
  <si>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</si>
  <si>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</si>
  <si>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</si>
  <si>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</si>
  <si>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</si>
  <si>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</si>
  <si>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</si>
  <si>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</si>
  <si>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</si>
  <si>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</si>
  <si>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</si>
  <si>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investments in reverse repurchase agreements</t>
  </si>
  <si>
    <t>disposals of property,plant and equipment</t>
  </si>
  <si>
    <t>long term debt payments including current portion</t>
  </si>
  <si>
    <t>excess tax benefits from share-based payment arrangements</t>
  </si>
  <si>
    <t>Europe,Middle East and Africa</t>
  </si>
  <si>
    <t>Asia Pacific and Latin America</t>
  </si>
  <si>
    <t>supply and demand increases and less covid issues</t>
  </si>
  <si>
    <t>women and kids apparel huge increase</t>
  </si>
  <si>
    <t xml:space="preserve">increase in nike digital </t>
  </si>
  <si>
    <t>increase in running shoe sales</t>
  </si>
  <si>
    <t>jordans' seeing record numbers</t>
  </si>
  <si>
    <t>world cup and sporting events</t>
  </si>
  <si>
    <t>worlod cup and sporting events</t>
  </si>
  <si>
    <t>continued slower lead time</t>
  </si>
  <si>
    <t>women / youth markets growing from new product creation</t>
  </si>
  <si>
    <t>Can also be attributed to slower lead times and increasing freight costs</t>
  </si>
  <si>
    <t>higher markdowns in liquidity and higher supply chain costs.</t>
  </si>
  <si>
    <t>This is despite the significant rise in appareal and equipment growth</t>
  </si>
  <si>
    <t>Feedback</t>
  </si>
  <si>
    <t>Opening share count - buy back = Current year no. of shares (No. of shares bought back= Buyback value in cash flow/closing share price today)</t>
  </si>
  <si>
    <t>First Calculate the number of shares bought back   Share buyback value in cash flow statement below/closing share price today, after calculating the number of shares bought back, subtract it from opening shares</t>
  </si>
  <si>
    <t>For Historical periods, remove row 50 from formula</t>
  </si>
  <si>
    <t>Check the linking to the Historicals sheet, 2022 numbers should be linked similar to 2021 column</t>
  </si>
  <si>
    <t xml:space="preserve">buyback </t>
  </si>
  <si>
    <t>Link the highlighted cell to Historicals I97</t>
  </si>
  <si>
    <t>Keep the highlighted forecasts blank</t>
  </si>
  <si>
    <t>NIKE, INC.
(Dollars and Shares in Millions Except Per Share Amounts)</t>
  </si>
  <si>
    <t>Terminal year</t>
  </si>
  <si>
    <t>Mulitples</t>
  </si>
  <si>
    <t>Average Share Price</t>
  </si>
  <si>
    <t>EV</t>
  </si>
  <si>
    <t>P/E</t>
  </si>
  <si>
    <t>P/BV</t>
  </si>
  <si>
    <t>EV/EBITDA</t>
  </si>
  <si>
    <t>EV/FCFF</t>
  </si>
  <si>
    <t>Debt/Equity</t>
  </si>
  <si>
    <t>Debt/Capital</t>
  </si>
  <si>
    <t>ROE</t>
  </si>
  <si>
    <t xml:space="preserve">FCFF in high growth phase </t>
  </si>
  <si>
    <t>WACC</t>
  </si>
  <si>
    <t>Calculate using below figures</t>
  </si>
  <si>
    <t>Beta</t>
  </si>
  <si>
    <t>Source from a financial website</t>
  </si>
  <si>
    <t>Cost of Equity</t>
  </si>
  <si>
    <t>CAPM</t>
  </si>
  <si>
    <t>Rf</t>
  </si>
  <si>
    <t>https://www.treasury.gov/resource-center/data-chart-center/interest-rates/Pages/TextView.aspx?data=longtermrate</t>
  </si>
  <si>
    <t>Rm</t>
  </si>
  <si>
    <t>S&amp;P 500 index 1 year return (Source from a financial website)</t>
  </si>
  <si>
    <t>Cost of Debt</t>
  </si>
  <si>
    <t>Calculate from Income statement sheet</t>
  </si>
  <si>
    <t>Debt Ratio</t>
  </si>
  <si>
    <t>Present Values</t>
  </si>
  <si>
    <t>Calculate for periods from 2022 onwards</t>
  </si>
  <si>
    <t xml:space="preserve">Present Value of FCFF in high growth phase </t>
  </si>
  <si>
    <t xml:space="preserve">Present Value of Terminal Value of Firm </t>
  </si>
  <si>
    <t xml:space="preserve">Value of the firm </t>
  </si>
  <si>
    <t xml:space="preserve">Book Value of Debt </t>
  </si>
  <si>
    <t xml:space="preserve">Value of Equity </t>
  </si>
  <si>
    <t xml:space="preserve">Value of Equity per Share </t>
  </si>
  <si>
    <t>SOURCED FROM https://www.zacks.com/stock/chart/NKE/fundamental/beta</t>
  </si>
  <si>
    <t>Cost of Equity = Risk-Free Rate of Return (Rf) + Beta * (Market Rate of Return (Rm) - Risk-Free Rate of Return(Rf))</t>
  </si>
  <si>
    <t>Interest/Long term borrowings</t>
  </si>
  <si>
    <t>Link only long term debt, remove current debt. Debt Ratio = Debt/Capital ratio</t>
  </si>
  <si>
    <t>Source from the US treasury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</si>
</sst>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66" fontId="9" fillId="0" borderId="0" xfId="2" applyNumberFormat="1" applyFont="1"/>
    <xf numFmtId="0" fontId="9" fillId="0" borderId="0" xfId="0" applyFont="1" applyAlignment="1">
      <alignment horizontal="left" indent="2"/>
    </xf>
    <xf numFmtId="0" fontId="10" fillId="0" borderId="2" xfId="0" applyFont="1" applyBorder="1"/>
    <xf numFmtId="0" fontId="10" fillId="0" borderId="0" xfId="0" applyFont="1" applyAlignment="1">
      <alignment horizontal="left" indent="1"/>
    </xf>
    <xf numFmtId="166" fontId="10" fillId="0" borderId="0" xfId="2" applyNumberFormat="1" applyFont="1"/>
    <xf numFmtId="0" fontId="9" fillId="0" borderId="1" xfId="0" applyFont="1" applyBorder="1"/>
    <xf numFmtId="166" fontId="10" fillId="0" borderId="2" xfId="2" applyNumberFormat="1" applyFont="1" applyBorder="1"/>
    <xf numFmtId="166" fontId="10" fillId="0" borderId="1" xfId="2" applyNumberFormat="1" applyFont="1" applyBorder="1"/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1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1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1" fillId="0" borderId="0" xfId="1" applyNumberFormat="1" applyFont="1" applyAlignment="1">
      <alignment horizontal="left" indent="1"/>
    </xf>
    <xf numFmtId="166" fontId="9" fillId="0" borderId="0" xfId="2" applyNumberFormat="1" applyFont="1" applyAlignment="1">
      <alignment horizontal="right"/>
    </xf>
    <xf numFmtId="165" fontId="2" fillId="0" borderId="0" xfId="0" applyNumberFormat="1" applyFont="1"/>
    <xf numFmtId="166" fontId="12" fillId="7" borderId="0" xfId="2" applyNumberFormat="1" applyFont="1" applyFill="1"/>
    <xf numFmtId="166" fontId="11" fillId="0" borderId="0" xfId="2" applyNumberFormat="1" applyFont="1" applyBorder="1" applyAlignment="1">
      <alignment horizontal="righ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5" fontId="11" fillId="0" borderId="0" xfId="1" applyNumberFormat="1" applyFont="1" applyAlignment="1">
      <alignment horizontal="left"/>
    </xf>
    <xf numFmtId="166" fontId="11" fillId="0" borderId="0" xfId="2" applyNumberFormat="1" applyFont="1" applyAlignment="1">
      <alignment horizontal="right"/>
    </xf>
    <xf numFmtId="43" fontId="0" fillId="0" borderId="0" xfId="1" applyFont="1"/>
    <xf numFmtId="0" fontId="6" fillId="4" borderId="0" xfId="4" applyFont="1"/>
    <xf numFmtId="0" fontId="0" fillId="0" borderId="0" xfId="0" applyAlignment="1">
      <alignment horizontal="left"/>
    </xf>
    <xf numFmtId="43" fontId="5" fillId="0" borderId="0" xfId="1" applyFont="1" applyBorder="1"/>
    <xf numFmtId="165" fontId="0" fillId="0" borderId="0" xfId="0" applyNumberFormat="1"/>
    <xf numFmtId="166" fontId="0" fillId="0" borderId="0" xfId="0" applyNumberFormat="1"/>
    <xf numFmtId="165" fontId="0" fillId="8" borderId="0" xfId="0" applyNumberFormat="1" applyFill="1"/>
    <xf numFmtId="0" fontId="0" fillId="8" borderId="0" xfId="0" applyFill="1"/>
    <xf numFmtId="165" fontId="2" fillId="8" borderId="0" xfId="0" applyNumberFormat="1" applyFont="1" applyFill="1"/>
    <xf numFmtId="0" fontId="2" fillId="8" borderId="0" xfId="0" applyFont="1" applyFill="1"/>
    <xf numFmtId="0" fontId="11" fillId="0" borderId="0" xfId="2" applyNumberFormat="1" applyFont="1" applyAlignment="1">
      <alignment horizontal="right"/>
    </xf>
    <xf numFmtId="0" fontId="0" fillId="0" borderId="0" xfId="0" quotePrefix="1"/>
    <xf numFmtId="165" fontId="15" fillId="0" borderId="0" xfId="0" applyNumberFormat="1" applyFont="1"/>
    <xf numFmtId="0" fontId="15" fillId="0" borderId="0" xfId="0" applyFont="1"/>
    <xf numFmtId="10" fontId="11" fillId="0" borderId="0" xfId="2" applyNumberFormat="1" applyFont="1" applyAlignment="1">
      <alignment horizontal="right"/>
    </xf>
    <xf numFmtId="0" fontId="16" fillId="0" borderId="0" xfId="0" applyFont="1"/>
    <xf numFmtId="165" fontId="0" fillId="9" borderId="0" xfId="1" applyNumberFormat="1" applyFont="1" applyFill="1"/>
    <xf numFmtId="0" fontId="17" fillId="0" borderId="0" xfId="0" applyFont="1" applyAlignment="1">
      <alignment horizontal="center"/>
    </xf>
    <xf numFmtId="165" fontId="0" fillId="10" borderId="0" xfId="1" applyNumberFormat="1" applyFont="1" applyFill="1"/>
    <xf numFmtId="165" fontId="2" fillId="9" borderId="4" xfId="1" applyNumberFormat="1" applyFont="1" applyFill="1" applyBorder="1"/>
    <xf numFmtId="43" fontId="0" fillId="0" borderId="0" xfId="0" applyNumberFormat="1"/>
    <xf numFmtId="0" fontId="6" fillId="4" borderId="0" xfId="4" applyNumberFormat="1" applyFont="1" applyBorder="1" applyAlignment="1">
      <alignment horizontal="left"/>
    </xf>
    <xf numFmtId="165" fontId="2" fillId="0" borderId="4" xfId="1" applyNumberFormat="1" applyFont="1" applyFill="1" applyBorder="1"/>
    <xf numFmtId="165" fontId="0" fillId="11" borderId="0" xfId="1" applyNumberFormat="1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6" fillId="12" borderId="0" xfId="0" applyFont="1" applyFill="1" applyAlignment="1">
      <alignment horizontal="right"/>
    </xf>
    <xf numFmtId="0" fontId="6" fillId="12" borderId="0" xfId="0" applyFont="1" applyFill="1" applyAlignment="1">
      <alignment horizontal="right" wrapText="1"/>
    </xf>
    <xf numFmtId="0" fontId="0" fillId="13" borderId="0" xfId="0" applyFill="1"/>
    <xf numFmtId="166" fontId="0" fillId="0" borderId="0" xfId="2" applyNumberFormat="1" applyFont="1"/>
    <xf numFmtId="10" fontId="11" fillId="0" borderId="0" xfId="2" applyNumberFormat="1" applyFont="1" applyBorder="1" applyAlignment="1">
      <alignment horizontal="left"/>
    </xf>
    <xf numFmtId="10" fontId="19" fillId="0" borderId="0" xfId="1" applyNumberFormat="1" applyFont="1" applyBorder="1" applyAlignment="1">
      <alignment horizontal="right"/>
    </xf>
    <xf numFmtId="10" fontId="19" fillId="0" borderId="0" xfId="2" applyNumberFormat="1" applyFont="1" applyBorder="1"/>
    <xf numFmtId="0" fontId="19" fillId="14" borderId="0" xfId="0" applyFont="1" applyFill="1"/>
    <xf numFmtId="166" fontId="0" fillId="0" borderId="0" xfId="2" applyNumberFormat="1" applyFont="1" applyFill="1"/>
    <xf numFmtId="0" fontId="18" fillId="0" borderId="0" xfId="6" applyAlignment="1">
      <alignment horizontal="left" inden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0" fontId="0" fillId="0" borderId="0" xfId="0" applyNumberFormat="1"/>
    <xf numFmtId="43" fontId="0" fillId="0" borderId="8" xfId="0" applyNumberFormat="1" applyBorder="1"/>
  </cellXfs>
  <cellStyles count="7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Hyperlink" xfId="6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easury.gov/resource-center/data-chart-center/interest-rates/Pages/TextView.aspx?data=longtermr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zoomScale="120" zoomScaleNormal="120" workbookViewId="0">
      <selection activeCell="A5" sqref="A5"/>
    </sheetView>
  </sheetViews>
  <sheetFormatPr baseColWidth="10" defaultColWidth="8.83203125" defaultRowHeight="15" x14ac:dyDescent="0.2"/>
  <cols>
    <col min="1" max="1" width="176.1640625" style="19" customWidth="1"/>
  </cols>
  <sheetData>
    <row r="1" spans="1:1" ht="25" x14ac:dyDescent="0.3">
      <c r="A1" s="18" t="s">
        <v>20</v>
      </c>
    </row>
    <row r="2" spans="1:1" x14ac:dyDescent="0.2">
      <c r="A2" t="s">
        <v>148</v>
      </c>
    </row>
    <row r="3" spans="1:1" x14ac:dyDescent="0.2">
      <c r="A3" s="1" t="s">
        <v>149</v>
      </c>
    </row>
    <row r="4" spans="1:1" x14ac:dyDescent="0.2">
      <c r="A4" t="s">
        <v>150</v>
      </c>
    </row>
    <row r="5" spans="1:1" x14ac:dyDescent="0.2">
      <c r="A5" s="2" t="s">
        <v>151</v>
      </c>
    </row>
    <row r="6" spans="1:1" x14ac:dyDescent="0.2">
      <c r="A6" t="s">
        <v>153</v>
      </c>
    </row>
    <row r="7" spans="1:1" x14ac:dyDescent="0.2">
      <c r="A7" t="s">
        <v>154</v>
      </c>
    </row>
    <row r="8" spans="1:1" x14ac:dyDescent="0.2">
      <c r="A8" t="s">
        <v>152</v>
      </c>
    </row>
    <row r="9" spans="1:1" x14ac:dyDescent="0.2">
      <c r="A9" t="s">
        <v>155</v>
      </c>
    </row>
    <row r="11" spans="1:1" x14ac:dyDescent="0.2">
      <c r="A11" s="20"/>
    </row>
    <row r="12" spans="1:1" x14ac:dyDescent="0.2">
      <c r="A12" s="20"/>
    </row>
    <row r="13" spans="1:1" x14ac:dyDescent="0.2">
      <c r="A13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08"/>
  <sheetViews>
    <sheetView zoomScaleNormal="130" workbookViewId="0">
      <pane ySplit="1" topLeftCell="A153" activePane="bottomLeft" state="frozen"/>
      <selection pane="bottomLeft" activeCell="G167" sqref="G167"/>
    </sheetView>
  </sheetViews>
  <sheetFormatPr baseColWidth="10" defaultColWidth="8.83203125" defaultRowHeight="15" x14ac:dyDescent="0.2"/>
  <cols>
    <col min="1" max="1" width="78.1640625" customWidth="1"/>
    <col min="2" max="7" width="9" bestFit="1" customWidth="1"/>
    <col min="8" max="8" width="10.5" bestFit="1" customWidth="1"/>
    <col min="9" max="9" width="10.6640625" bestFit="1" customWidth="1"/>
  </cols>
  <sheetData>
    <row r="1" spans="1:14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14" x14ac:dyDescent="0.2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  <c r="J2" s="3">
        <v>46710</v>
      </c>
      <c r="K2" s="3">
        <v>46710</v>
      </c>
      <c r="L2" s="3">
        <v>46710</v>
      </c>
      <c r="M2" s="3">
        <v>46710</v>
      </c>
      <c r="N2" s="3">
        <v>46710</v>
      </c>
    </row>
    <row r="3" spans="1:14" x14ac:dyDescent="0.2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  <c r="J3" s="24">
        <v>25231</v>
      </c>
      <c r="K3" s="24">
        <v>25231</v>
      </c>
      <c r="L3" s="24">
        <v>25231</v>
      </c>
      <c r="M3" s="24">
        <v>25231</v>
      </c>
      <c r="N3" s="24">
        <v>25231</v>
      </c>
    </row>
    <row r="4" spans="1:14" s="1" customFormat="1" x14ac:dyDescent="0.2">
      <c r="A4" s="1" t="s">
        <v>4</v>
      </c>
      <c r="B4" s="9">
        <f t="shared" ref="B4:H4" si="1">+B2-B3</f>
        <v>14067</v>
      </c>
      <c r="C4" s="9">
        <v>14971</v>
      </c>
      <c r="D4" s="9">
        <f t="shared" si="1"/>
        <v>15312</v>
      </c>
      <c r="E4" s="9">
        <f t="shared" si="1"/>
        <v>15956</v>
      </c>
      <c r="F4" s="9"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  <c r="J4" s="9">
        <f t="shared" ref="J4:N4" si="2">+J2-J3</f>
        <v>21479</v>
      </c>
      <c r="K4" s="9">
        <f t="shared" si="2"/>
        <v>21479</v>
      </c>
      <c r="L4" s="9">
        <f t="shared" si="2"/>
        <v>21479</v>
      </c>
      <c r="M4" s="9">
        <f t="shared" si="2"/>
        <v>21479</v>
      </c>
      <c r="N4" s="9">
        <f t="shared" si="2"/>
        <v>21479</v>
      </c>
    </row>
    <row r="5" spans="1:14" x14ac:dyDescent="0.2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  <c r="J5" s="3">
        <v>3850</v>
      </c>
      <c r="K5" s="3">
        <v>3850</v>
      </c>
      <c r="L5" s="3">
        <v>3850</v>
      </c>
      <c r="M5" s="3">
        <v>3850</v>
      </c>
      <c r="N5" s="3">
        <v>3850</v>
      </c>
    </row>
    <row r="6" spans="1:14" x14ac:dyDescent="0.2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  <c r="J6" s="3">
        <v>10954</v>
      </c>
      <c r="K6" s="3">
        <v>10954</v>
      </c>
      <c r="L6" s="3">
        <v>10954</v>
      </c>
      <c r="M6" s="3">
        <v>10954</v>
      </c>
      <c r="N6" s="3">
        <v>10954</v>
      </c>
    </row>
    <row r="7" spans="1:14" x14ac:dyDescent="0.2">
      <c r="A7" s="22" t="s">
        <v>23</v>
      </c>
      <c r="B7" s="21">
        <f>+B5+B6</f>
        <v>9892</v>
      </c>
      <c r="C7" s="21">
        <f t="shared" ref="C7:H7" si="3">+C5+C6</f>
        <v>10469</v>
      </c>
      <c r="D7" s="21">
        <f t="shared" si="3"/>
        <v>10563</v>
      </c>
      <c r="E7" s="21">
        <f t="shared" si="3"/>
        <v>11511</v>
      </c>
      <c r="F7" s="21">
        <f t="shared" si="3"/>
        <v>12702</v>
      </c>
      <c r="G7" s="21">
        <f t="shared" si="3"/>
        <v>13126</v>
      </c>
      <c r="H7" s="21">
        <f t="shared" si="3"/>
        <v>13025</v>
      </c>
      <c r="I7" s="21">
        <f>+I5+I6</f>
        <v>14804</v>
      </c>
      <c r="J7" s="21">
        <f t="shared" ref="J7:N7" si="4">+J5+J6</f>
        <v>14804</v>
      </c>
      <c r="K7" s="21">
        <f t="shared" si="4"/>
        <v>14804</v>
      </c>
      <c r="L7" s="21">
        <f t="shared" si="4"/>
        <v>14804</v>
      </c>
      <c r="M7" s="21">
        <f t="shared" si="4"/>
        <v>14804</v>
      </c>
      <c r="N7" s="21">
        <f t="shared" si="4"/>
        <v>14804</v>
      </c>
    </row>
    <row r="8" spans="1:14" x14ac:dyDescent="0.2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  <c r="J8" s="3">
        <v>205</v>
      </c>
      <c r="K8" s="3">
        <v>205</v>
      </c>
      <c r="L8" s="3">
        <v>205</v>
      </c>
      <c r="M8" s="3">
        <v>205</v>
      </c>
      <c r="N8" s="3">
        <v>205</v>
      </c>
    </row>
    <row r="9" spans="1:14" x14ac:dyDescent="0.2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  <c r="J9" s="3">
        <v>-181</v>
      </c>
      <c r="K9" s="3">
        <v>-181</v>
      </c>
      <c r="L9" s="3">
        <v>-181</v>
      </c>
      <c r="M9" s="3">
        <v>-181</v>
      </c>
      <c r="N9" s="3">
        <v>-181</v>
      </c>
    </row>
    <row r="10" spans="1:14" x14ac:dyDescent="0.2">
      <c r="A10" s="4" t="s">
        <v>25</v>
      </c>
      <c r="B10" s="5">
        <f>+B4-B7-B8-B9</f>
        <v>4205</v>
      </c>
      <c r="C10" s="5">
        <f t="shared" ref="C10:H10" si="5">+C4-C7-C8-C9</f>
        <v>4623</v>
      </c>
      <c r="D10" s="5">
        <v>4886</v>
      </c>
      <c r="E10" s="5">
        <f t="shared" si="5"/>
        <v>4325</v>
      </c>
      <c r="F10" s="5">
        <f t="shared" si="5"/>
        <v>4801</v>
      </c>
      <c r="G10" s="5">
        <f t="shared" si="5"/>
        <v>2887</v>
      </c>
      <c r="H10" s="5">
        <f t="shared" si="5"/>
        <v>6661</v>
      </c>
      <c r="I10" s="5">
        <f>+I4-I7-I8-I9</f>
        <v>6651</v>
      </c>
      <c r="J10" s="5">
        <f>+J4-J7-J8-J9</f>
        <v>6651</v>
      </c>
      <c r="K10" s="5">
        <f t="shared" ref="K10:N10" si="6">+K4-K7-K8-K9</f>
        <v>6651</v>
      </c>
      <c r="L10" s="5">
        <f t="shared" si="6"/>
        <v>6651</v>
      </c>
      <c r="M10" s="5">
        <f t="shared" si="6"/>
        <v>6651</v>
      </c>
      <c r="N10" s="5">
        <f t="shared" si="6"/>
        <v>6651</v>
      </c>
    </row>
    <row r="11" spans="1:14" x14ac:dyDescent="0.2">
      <c r="A11" s="2" t="s">
        <v>26</v>
      </c>
      <c r="B11" s="3">
        <v>851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  <c r="J11" s="3">
        <v>605</v>
      </c>
      <c r="K11" s="3">
        <v>605</v>
      </c>
      <c r="L11" s="3">
        <v>605</v>
      </c>
      <c r="M11" s="3">
        <v>605</v>
      </c>
      <c r="N11" s="3">
        <v>605</v>
      </c>
    </row>
    <row r="12" spans="1:14" ht="16" thickBot="1" x14ac:dyDescent="0.25">
      <c r="A12" s="6" t="s">
        <v>29</v>
      </c>
      <c r="B12" s="7">
        <f t="shared" ref="B12:H12" si="7">+B10-B11</f>
        <v>3354</v>
      </c>
      <c r="C12" s="7">
        <f t="shared" si="7"/>
        <v>3760</v>
      </c>
      <c r="D12" s="7">
        <f t="shared" si="7"/>
        <v>4240</v>
      </c>
      <c r="E12" s="7">
        <f t="shared" si="7"/>
        <v>1933</v>
      </c>
      <c r="F12" s="7">
        <f t="shared" si="7"/>
        <v>4029</v>
      </c>
      <c r="G12" s="7">
        <f t="shared" si="7"/>
        <v>2539</v>
      </c>
      <c r="H12" s="7">
        <f t="shared" si="7"/>
        <v>5727</v>
      </c>
      <c r="I12" s="7">
        <f>+I10-I11</f>
        <v>6046</v>
      </c>
      <c r="J12" s="7">
        <f t="shared" ref="J12:N12" si="8">+J10-J11</f>
        <v>6046</v>
      </c>
      <c r="K12" s="7">
        <f t="shared" si="8"/>
        <v>6046</v>
      </c>
      <c r="L12" s="7">
        <f t="shared" si="8"/>
        <v>6046</v>
      </c>
      <c r="M12" s="7">
        <f t="shared" si="8"/>
        <v>6046</v>
      </c>
      <c r="N12" s="7">
        <f t="shared" si="8"/>
        <v>6046</v>
      </c>
    </row>
    <row r="13" spans="1:14" ht="16" thickTop="1" x14ac:dyDescent="0.2">
      <c r="A13" s="1" t="s">
        <v>8</v>
      </c>
    </row>
    <row r="14" spans="1:14" x14ac:dyDescent="0.2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  <c r="J14">
        <v>3.83</v>
      </c>
      <c r="K14">
        <v>3.83</v>
      </c>
      <c r="L14">
        <v>3.83</v>
      </c>
      <c r="M14">
        <v>3.83</v>
      </c>
      <c r="N14">
        <v>3.83</v>
      </c>
    </row>
    <row r="15" spans="1:14" x14ac:dyDescent="0.2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  <c r="J15">
        <v>3.75</v>
      </c>
      <c r="K15">
        <v>3.75</v>
      </c>
      <c r="L15">
        <v>3.75</v>
      </c>
      <c r="M15">
        <v>3.75</v>
      </c>
      <c r="N15">
        <v>3.75</v>
      </c>
    </row>
    <row r="16" spans="1:14" x14ac:dyDescent="0.2">
      <c r="A16" s="1" t="s">
        <v>9</v>
      </c>
    </row>
    <row r="17" spans="1:14" x14ac:dyDescent="0.2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  <c r="J17" s="8">
        <v>1578.8</v>
      </c>
      <c r="K17" s="8">
        <v>1578.8</v>
      </c>
      <c r="L17" s="8">
        <v>1578.8</v>
      </c>
      <c r="M17" s="8">
        <v>1578.8</v>
      </c>
      <c r="N17" s="8">
        <v>1578.8</v>
      </c>
    </row>
    <row r="18" spans="1:14" x14ac:dyDescent="0.2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1591.9</v>
      </c>
      <c r="H18" s="8">
        <v>1609.4</v>
      </c>
      <c r="I18" s="8">
        <v>1610.8</v>
      </c>
      <c r="J18" s="8">
        <v>1610.8</v>
      </c>
      <c r="K18" s="8">
        <v>1610.8</v>
      </c>
      <c r="L18" s="8">
        <v>1610.8</v>
      </c>
      <c r="M18" s="8">
        <v>1610.8</v>
      </c>
      <c r="N18" s="8">
        <v>1610.8</v>
      </c>
    </row>
    <row r="20" spans="1:14" s="12" customFormat="1" x14ac:dyDescent="0.2">
      <c r="A20" s="12" t="s">
        <v>2</v>
      </c>
      <c r="B20" s="13">
        <f t="shared" ref="B20:H20" si="9">+ROUND(((B12/B18)-B15),2)</f>
        <v>0.05</v>
      </c>
      <c r="C20" s="13">
        <f t="shared" si="9"/>
        <v>0</v>
      </c>
      <c r="D20" s="13">
        <f t="shared" si="9"/>
        <v>0</v>
      </c>
      <c r="E20" s="13">
        <f t="shared" si="9"/>
        <v>0</v>
      </c>
      <c r="F20" s="13">
        <f t="shared" si="9"/>
        <v>0</v>
      </c>
      <c r="G20" s="13">
        <f t="shared" si="9"/>
        <v>-0.01</v>
      </c>
      <c r="H20" s="13">
        <f t="shared" si="9"/>
        <v>0</v>
      </c>
      <c r="I20" s="13">
        <f>+ROUND(((I12/I18)-I15),2)</f>
        <v>0</v>
      </c>
    </row>
    <row r="22" spans="1:14" x14ac:dyDescent="0.2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14" x14ac:dyDescent="0.2">
      <c r="A23" s="1" t="s">
        <v>30</v>
      </c>
    </row>
    <row r="24" spans="1:14" x14ac:dyDescent="0.2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14" x14ac:dyDescent="0.2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  <c r="J25" s="3">
        <v>8574</v>
      </c>
      <c r="K25" s="3">
        <v>8574</v>
      </c>
      <c r="L25" s="3">
        <v>8574</v>
      </c>
      <c r="M25" s="3">
        <v>8574</v>
      </c>
      <c r="N25" s="3">
        <v>8574</v>
      </c>
    </row>
    <row r="26" spans="1:14" x14ac:dyDescent="0.2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  <c r="J26" s="3">
        <v>4423</v>
      </c>
      <c r="K26" s="3">
        <v>4423</v>
      </c>
      <c r="L26" s="3">
        <v>4423</v>
      </c>
      <c r="M26" s="3">
        <v>4423</v>
      </c>
      <c r="N26" s="3">
        <v>4423</v>
      </c>
    </row>
    <row r="27" spans="1:14" x14ac:dyDescent="0.2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  <c r="J27" s="3">
        <v>4667</v>
      </c>
      <c r="K27" s="3">
        <v>4667</v>
      </c>
      <c r="L27" s="3">
        <v>4667</v>
      </c>
      <c r="M27" s="3">
        <v>4667</v>
      </c>
      <c r="N27" s="3">
        <v>4667</v>
      </c>
    </row>
    <row r="28" spans="1:14" x14ac:dyDescent="0.2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  <c r="J28" s="3">
        <v>8420</v>
      </c>
      <c r="K28" s="3">
        <v>8420</v>
      </c>
      <c r="L28" s="3">
        <v>8420</v>
      </c>
      <c r="M28" s="3">
        <v>8420</v>
      </c>
      <c r="N28" s="3">
        <v>8420</v>
      </c>
    </row>
    <row r="29" spans="1:14" x14ac:dyDescent="0.2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  <c r="J29" s="3">
        <v>2129</v>
      </c>
      <c r="K29" s="3">
        <v>2129</v>
      </c>
      <c r="L29" s="3">
        <v>2129</v>
      </c>
      <c r="M29" s="3">
        <v>2129</v>
      </c>
      <c r="N29" s="3">
        <v>2129</v>
      </c>
    </row>
    <row r="30" spans="1:14" x14ac:dyDescent="0.2">
      <c r="A30" s="4" t="s">
        <v>10</v>
      </c>
      <c r="B30" s="5">
        <f t="shared" ref="B30:G30" si="10">+SUM(B25:B29)</f>
        <v>15587</v>
      </c>
      <c r="C30" s="5">
        <f t="shared" si="10"/>
        <v>15025</v>
      </c>
      <c r="D30" s="5">
        <f t="shared" si="10"/>
        <v>16061</v>
      </c>
      <c r="E30" s="5">
        <f t="shared" si="10"/>
        <v>15134</v>
      </c>
      <c r="F30" s="5">
        <f t="shared" si="10"/>
        <v>16525</v>
      </c>
      <c r="G30" s="5">
        <f t="shared" si="10"/>
        <v>20556</v>
      </c>
      <c r="H30" s="5">
        <f t="shared" ref="H30" si="11">+SUM(H25:H29)</f>
        <v>26291</v>
      </c>
      <c r="I30" s="5">
        <f>+SUM(I25:I29)</f>
        <v>28213</v>
      </c>
      <c r="J30" s="5">
        <f t="shared" ref="J30:N30" si="12">+SUM(J25:J29)</f>
        <v>28213</v>
      </c>
      <c r="K30" s="5">
        <f t="shared" si="12"/>
        <v>28213</v>
      </c>
      <c r="L30" s="5">
        <f t="shared" si="12"/>
        <v>28213</v>
      </c>
      <c r="M30" s="5">
        <f t="shared" si="12"/>
        <v>28213</v>
      </c>
      <c r="N30" s="5">
        <f t="shared" si="12"/>
        <v>28213</v>
      </c>
    </row>
    <row r="31" spans="1:14" x14ac:dyDescent="0.2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  <c r="J31" s="3">
        <v>4791</v>
      </c>
      <c r="K31" s="3">
        <v>4791</v>
      </c>
      <c r="L31" s="3">
        <v>4791</v>
      </c>
      <c r="M31" s="3">
        <v>4791</v>
      </c>
      <c r="N31" s="3">
        <v>4791</v>
      </c>
    </row>
    <row r="32" spans="1:14" x14ac:dyDescent="0.2">
      <c r="A32" s="2" t="s">
        <v>38</v>
      </c>
      <c r="B32" s="3"/>
      <c r="C32" s="3"/>
      <c r="D32" s="3"/>
      <c r="E32" s="3"/>
      <c r="F32" s="3"/>
      <c r="G32" s="3">
        <v>3097</v>
      </c>
      <c r="H32" s="3">
        <v>3113</v>
      </c>
      <c r="I32" s="3">
        <v>2926</v>
      </c>
      <c r="J32" s="3">
        <v>2926</v>
      </c>
      <c r="K32" s="3">
        <v>2926</v>
      </c>
      <c r="L32" s="3">
        <v>2926</v>
      </c>
      <c r="M32" s="3">
        <v>2926</v>
      </c>
      <c r="N32" s="3">
        <v>2926</v>
      </c>
    </row>
    <row r="33" spans="1:14" x14ac:dyDescent="0.2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  <c r="J33" s="3">
        <v>286</v>
      </c>
      <c r="K33" s="3">
        <v>286</v>
      </c>
      <c r="L33" s="3">
        <v>286</v>
      </c>
      <c r="M33" s="3">
        <v>286</v>
      </c>
      <c r="N33" s="3">
        <v>286</v>
      </c>
    </row>
    <row r="34" spans="1:14" x14ac:dyDescent="0.2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  <c r="J34" s="3">
        <v>284</v>
      </c>
      <c r="K34" s="3">
        <v>284</v>
      </c>
      <c r="L34" s="3">
        <v>284</v>
      </c>
      <c r="M34" s="3">
        <v>284</v>
      </c>
      <c r="N34" s="3">
        <v>284</v>
      </c>
    </row>
    <row r="35" spans="1:14" x14ac:dyDescent="0.2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  <c r="J35" s="3">
        <v>3821</v>
      </c>
      <c r="K35" s="3">
        <v>3821</v>
      </c>
      <c r="L35" s="3">
        <v>3821</v>
      </c>
      <c r="M35" s="3">
        <v>3821</v>
      </c>
      <c r="N35" s="3">
        <v>3821</v>
      </c>
    </row>
    <row r="36" spans="1:14" ht="16" thickBot="1" x14ac:dyDescent="0.25">
      <c r="A36" s="6" t="s">
        <v>42</v>
      </c>
      <c r="B36" s="7">
        <f t="shared" ref="B36:H36" si="13">+SUM(B30:B35)</f>
        <v>21597</v>
      </c>
      <c r="C36" s="7">
        <f t="shared" si="13"/>
        <v>21396</v>
      </c>
      <c r="D36" s="7">
        <f t="shared" si="13"/>
        <v>23259</v>
      </c>
      <c r="E36" s="7">
        <f t="shared" si="13"/>
        <v>22536</v>
      </c>
      <c r="F36" s="7">
        <f t="shared" si="13"/>
        <v>23717</v>
      </c>
      <c r="G36" s="7">
        <f t="shared" si="13"/>
        <v>31342</v>
      </c>
      <c r="H36" s="7">
        <f t="shared" si="13"/>
        <v>37740</v>
      </c>
      <c r="I36" s="7">
        <f>+SUM(I30:I35)</f>
        <v>40321</v>
      </c>
      <c r="J36" s="7">
        <f t="shared" ref="J36:N36" si="14">+SUM(J30:J35)</f>
        <v>40321</v>
      </c>
      <c r="K36" s="7">
        <f t="shared" si="14"/>
        <v>40321</v>
      </c>
      <c r="L36" s="7">
        <f t="shared" si="14"/>
        <v>40321</v>
      </c>
      <c r="M36" s="7">
        <f t="shared" si="14"/>
        <v>40321</v>
      </c>
      <c r="N36" s="7">
        <f t="shared" si="14"/>
        <v>40321</v>
      </c>
    </row>
    <row r="37" spans="1:14" ht="16" thickTop="1" x14ac:dyDescent="0.2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14" x14ac:dyDescent="0.2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14" x14ac:dyDescent="0.2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  <c r="J39" s="3">
        <v>500</v>
      </c>
      <c r="K39" s="3">
        <v>500</v>
      </c>
      <c r="L39" s="3">
        <v>500</v>
      </c>
      <c r="M39" s="3">
        <v>500</v>
      </c>
      <c r="N39" s="3">
        <v>500</v>
      </c>
    </row>
    <row r="40" spans="1:14" x14ac:dyDescent="0.2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  <c r="J40" s="3">
        <v>10</v>
      </c>
      <c r="K40" s="3">
        <v>10</v>
      </c>
      <c r="L40" s="3">
        <v>10</v>
      </c>
      <c r="M40" s="3">
        <v>10</v>
      </c>
      <c r="N40" s="3">
        <v>10</v>
      </c>
    </row>
    <row r="41" spans="1:14" x14ac:dyDescent="0.2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  <c r="J41" s="3">
        <v>3358</v>
      </c>
      <c r="K41" s="3">
        <v>3358</v>
      </c>
      <c r="L41" s="3">
        <v>3358</v>
      </c>
      <c r="M41" s="3">
        <v>3358</v>
      </c>
      <c r="N41" s="3">
        <v>3358</v>
      </c>
    </row>
    <row r="42" spans="1:14" x14ac:dyDescent="0.2">
      <c r="A42" s="11" t="s">
        <v>47</v>
      </c>
      <c r="B42" s="3"/>
      <c r="C42" s="3"/>
      <c r="D42" s="3"/>
      <c r="E42" s="3"/>
      <c r="F42" s="3"/>
      <c r="G42" s="3">
        <v>445</v>
      </c>
      <c r="H42" s="3">
        <v>467</v>
      </c>
      <c r="I42" s="3">
        <v>420</v>
      </c>
      <c r="J42" s="3">
        <v>420</v>
      </c>
      <c r="K42" s="3">
        <v>420</v>
      </c>
      <c r="L42" s="3">
        <v>420</v>
      </c>
      <c r="M42" s="3">
        <v>420</v>
      </c>
      <c r="N42" s="3">
        <v>420</v>
      </c>
    </row>
    <row r="43" spans="1:14" x14ac:dyDescent="0.2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  <c r="J43" s="3">
        <v>6220</v>
      </c>
      <c r="K43" s="3">
        <v>6220</v>
      </c>
      <c r="L43" s="3">
        <v>6220</v>
      </c>
      <c r="M43" s="3">
        <v>6220</v>
      </c>
      <c r="N43" s="3">
        <v>6220</v>
      </c>
    </row>
    <row r="44" spans="1:14" x14ac:dyDescent="0.2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  <c r="J44" s="3">
        <v>222</v>
      </c>
      <c r="K44" s="3">
        <v>222</v>
      </c>
      <c r="L44" s="3">
        <v>222</v>
      </c>
      <c r="M44" s="3">
        <v>222</v>
      </c>
      <c r="N44" s="3">
        <v>222</v>
      </c>
    </row>
    <row r="45" spans="1:14" x14ac:dyDescent="0.2">
      <c r="A45" s="4" t="s">
        <v>13</v>
      </c>
      <c r="B45" s="5">
        <f t="shared" ref="B45:H45" si="15">+SUM(B39:B44)</f>
        <v>6332</v>
      </c>
      <c r="C45" s="5">
        <f t="shared" si="15"/>
        <v>5358</v>
      </c>
      <c r="D45" s="5">
        <f t="shared" si="15"/>
        <v>5474</v>
      </c>
      <c r="E45" s="5">
        <f t="shared" si="15"/>
        <v>6040</v>
      </c>
      <c r="F45" s="5">
        <f t="shared" si="15"/>
        <v>7866</v>
      </c>
      <c r="G45" s="5">
        <f t="shared" si="15"/>
        <v>8284</v>
      </c>
      <c r="H45" s="5">
        <f t="shared" si="15"/>
        <v>9674</v>
      </c>
      <c r="I45" s="5">
        <f>+SUM(I39:I44)</f>
        <v>10730</v>
      </c>
      <c r="J45" s="5">
        <f t="shared" ref="J45:N45" si="16">+SUM(J39:J44)</f>
        <v>10730</v>
      </c>
      <c r="K45" s="5">
        <f t="shared" si="16"/>
        <v>10730</v>
      </c>
      <c r="L45" s="5">
        <f t="shared" si="16"/>
        <v>10730</v>
      </c>
      <c r="M45" s="5">
        <f t="shared" si="16"/>
        <v>10730</v>
      </c>
      <c r="N45" s="5">
        <f t="shared" si="16"/>
        <v>10730</v>
      </c>
    </row>
    <row r="46" spans="1:14" x14ac:dyDescent="0.2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  <c r="J46" s="3">
        <v>8920</v>
      </c>
      <c r="K46" s="3">
        <v>8920</v>
      </c>
      <c r="L46" s="3">
        <v>8920</v>
      </c>
      <c r="M46" s="3">
        <v>8920</v>
      </c>
      <c r="N46" s="3">
        <v>8920</v>
      </c>
    </row>
    <row r="47" spans="1:14" x14ac:dyDescent="0.2">
      <c r="A47" s="2" t="s">
        <v>50</v>
      </c>
      <c r="B47" s="3"/>
      <c r="C47" s="3"/>
      <c r="D47" s="3"/>
      <c r="E47" s="3"/>
      <c r="F47" s="3"/>
      <c r="G47" s="3">
        <v>2913</v>
      </c>
      <c r="H47" s="3">
        <v>2931</v>
      </c>
      <c r="I47" s="3">
        <v>2777</v>
      </c>
      <c r="J47" s="3">
        <v>2777</v>
      </c>
      <c r="K47" s="3">
        <v>2777</v>
      </c>
      <c r="L47" s="3">
        <v>2777</v>
      </c>
      <c r="M47" s="3">
        <v>2777</v>
      </c>
      <c r="N47" s="3">
        <v>2777</v>
      </c>
    </row>
    <row r="48" spans="1:14" x14ac:dyDescent="0.2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  <c r="J48" s="3">
        <v>2613</v>
      </c>
      <c r="K48" s="3">
        <v>2613</v>
      </c>
      <c r="L48" s="3">
        <v>2613</v>
      </c>
      <c r="M48" s="3">
        <v>2613</v>
      </c>
      <c r="N48" s="3">
        <v>2613</v>
      </c>
    </row>
    <row r="49" spans="1:14" x14ac:dyDescent="0.2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14" x14ac:dyDescent="0.2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14" x14ac:dyDescent="0.2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14" x14ac:dyDescent="0.2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14" x14ac:dyDescent="0.2">
      <c r="A53" s="17" t="s">
        <v>56</v>
      </c>
      <c r="B53" s="3"/>
      <c r="C53" s="3"/>
      <c r="D53" s="3"/>
      <c r="E53" s="3"/>
      <c r="F53" s="3"/>
      <c r="G53" s="3"/>
      <c r="H53" s="3"/>
      <c r="I53" s="3"/>
    </row>
    <row r="54" spans="1:14" x14ac:dyDescent="0.2">
      <c r="A54" s="17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  <c r="J54" s="3">
        <v>3</v>
      </c>
      <c r="K54" s="3">
        <v>3</v>
      </c>
      <c r="L54" s="3">
        <v>3</v>
      </c>
      <c r="M54" s="3">
        <v>3</v>
      </c>
      <c r="N54" s="3">
        <v>3</v>
      </c>
    </row>
    <row r="55" spans="1:14" x14ac:dyDescent="0.2">
      <c r="A55" s="17" t="s">
        <v>58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  <c r="J55" s="3">
        <v>11484</v>
      </c>
      <c r="K55" s="3">
        <v>11484</v>
      </c>
      <c r="L55" s="3">
        <v>11484</v>
      </c>
      <c r="M55" s="3">
        <v>11484</v>
      </c>
      <c r="N55" s="3">
        <v>11484</v>
      </c>
    </row>
    <row r="56" spans="1:14" x14ac:dyDescent="0.2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  <c r="J56" s="3">
        <v>318</v>
      </c>
      <c r="K56" s="3">
        <v>318</v>
      </c>
      <c r="L56" s="3">
        <v>318</v>
      </c>
      <c r="M56" s="3">
        <v>318</v>
      </c>
      <c r="N56" s="3">
        <v>318</v>
      </c>
    </row>
    <row r="57" spans="1:14" x14ac:dyDescent="0.2">
      <c r="A57" s="17" t="s">
        <v>60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  <c r="J57" s="3">
        <v>3476</v>
      </c>
      <c r="K57" s="3">
        <v>3476</v>
      </c>
      <c r="L57" s="3">
        <v>3476</v>
      </c>
      <c r="M57" s="3">
        <v>3476</v>
      </c>
      <c r="N57" s="3">
        <v>3476</v>
      </c>
    </row>
    <row r="58" spans="1:14" x14ac:dyDescent="0.2">
      <c r="A58" s="4" t="s">
        <v>61</v>
      </c>
      <c r="B58" s="5">
        <f>+SUM(B53:B57)</f>
        <v>12707</v>
      </c>
      <c r="C58" s="5">
        <f t="shared" ref="C58:H58" si="17">+SUM(C53:C57)</f>
        <v>12258</v>
      </c>
      <c r="D58" s="5">
        <f t="shared" si="17"/>
        <v>12407</v>
      </c>
      <c r="E58" s="5">
        <f t="shared" si="17"/>
        <v>9812</v>
      </c>
      <c r="F58" s="5">
        <f t="shared" si="17"/>
        <v>9040</v>
      </c>
      <c r="G58" s="5">
        <f t="shared" si="17"/>
        <v>8055</v>
      </c>
      <c r="H58" s="5">
        <f t="shared" si="17"/>
        <v>12767</v>
      </c>
      <c r="I58" s="5">
        <f>+SUM(I53:I57)</f>
        <v>15281</v>
      </c>
      <c r="J58" s="5">
        <f t="shared" ref="J58:N58" si="18">+SUM(J53:J57)</f>
        <v>15281</v>
      </c>
      <c r="K58" s="5">
        <f t="shared" si="18"/>
        <v>15281</v>
      </c>
      <c r="L58" s="5">
        <f t="shared" si="18"/>
        <v>15281</v>
      </c>
      <c r="M58" s="5">
        <f t="shared" si="18"/>
        <v>15281</v>
      </c>
      <c r="N58" s="5">
        <f t="shared" si="18"/>
        <v>15281</v>
      </c>
    </row>
    <row r="59" spans="1:14" ht="16" thickBot="1" x14ac:dyDescent="0.25">
      <c r="A59" s="6" t="s">
        <v>62</v>
      </c>
      <c r="B59" s="7">
        <f>+SUM(B45:B50)+B58</f>
        <v>21597</v>
      </c>
      <c r="C59" s="7">
        <f t="shared" ref="C59:H59" si="19">+SUM(C45:C50)+C58</f>
        <v>21396</v>
      </c>
      <c r="D59" s="7">
        <f t="shared" si="19"/>
        <v>23259</v>
      </c>
      <c r="E59" s="7">
        <f t="shared" si="19"/>
        <v>22536</v>
      </c>
      <c r="F59" s="7">
        <f t="shared" si="19"/>
        <v>23717</v>
      </c>
      <c r="G59" s="7">
        <f t="shared" si="19"/>
        <v>31342</v>
      </c>
      <c r="H59" s="7">
        <f t="shared" si="19"/>
        <v>37740</v>
      </c>
      <c r="I59" s="7">
        <f>+SUM(I45:I50)+I58</f>
        <v>40321</v>
      </c>
      <c r="J59" s="7">
        <f t="shared" ref="J59:N59" si="20">+SUM(J45:J50)+J58</f>
        <v>40321</v>
      </c>
      <c r="K59" s="7">
        <f t="shared" si="20"/>
        <v>40321</v>
      </c>
      <c r="L59" s="7">
        <f t="shared" si="20"/>
        <v>40321</v>
      </c>
      <c r="M59" s="7">
        <f t="shared" si="20"/>
        <v>40321</v>
      </c>
      <c r="N59" s="7">
        <f t="shared" si="20"/>
        <v>40321</v>
      </c>
    </row>
    <row r="60" spans="1:14" s="12" customFormat="1" ht="16" thickTop="1" x14ac:dyDescent="0.2">
      <c r="A60" s="12" t="s">
        <v>3</v>
      </c>
      <c r="B60" s="13">
        <f t="shared" ref="B60:H60" si="21">+B59-B36</f>
        <v>0</v>
      </c>
      <c r="C60" s="13">
        <f t="shared" si="21"/>
        <v>0</v>
      </c>
      <c r="D60" s="13">
        <f t="shared" si="21"/>
        <v>0</v>
      </c>
      <c r="E60" s="13">
        <f t="shared" si="21"/>
        <v>0</v>
      </c>
      <c r="F60" s="13">
        <f t="shared" si="21"/>
        <v>0</v>
      </c>
      <c r="G60" s="13">
        <f t="shared" si="21"/>
        <v>0</v>
      </c>
      <c r="H60" s="13">
        <f t="shared" si="21"/>
        <v>0</v>
      </c>
      <c r="I60" s="13">
        <f>+I59-I36</f>
        <v>0</v>
      </c>
    </row>
    <row r="61" spans="1:14" x14ac:dyDescent="0.2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14" x14ac:dyDescent="0.2">
      <c r="A62" t="s">
        <v>15</v>
      </c>
    </row>
    <row r="63" spans="1:14" x14ac:dyDescent="0.2">
      <c r="A63" s="1" t="s">
        <v>63</v>
      </c>
    </row>
    <row r="64" spans="1:14" s="1" customFormat="1" x14ac:dyDescent="0.2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  <c r="J64" s="47">
        <f>I64</f>
        <v>6046</v>
      </c>
      <c r="K64" s="47">
        <f t="shared" ref="K64:N64" si="22">J64</f>
        <v>6046</v>
      </c>
      <c r="L64" s="47">
        <f t="shared" si="22"/>
        <v>6046</v>
      </c>
      <c r="M64" s="47">
        <f t="shared" si="22"/>
        <v>6046</v>
      </c>
      <c r="N64" s="47">
        <f t="shared" si="22"/>
        <v>6046</v>
      </c>
    </row>
    <row r="65" spans="1:22" s="1" customFormat="1" x14ac:dyDescent="0.2">
      <c r="A65" s="2" t="s">
        <v>65</v>
      </c>
      <c r="B65" s="3"/>
      <c r="C65" s="3"/>
      <c r="D65" s="3"/>
      <c r="E65" s="3"/>
      <c r="F65" s="3"/>
      <c r="G65" s="3"/>
      <c r="H65" s="3"/>
      <c r="I65" s="3"/>
      <c r="J65" s="47">
        <f t="shared" ref="J65:N107" si="23">I65</f>
        <v>0</v>
      </c>
      <c r="K65" s="47">
        <f t="shared" ref="K65:N65" si="24">J65</f>
        <v>0</v>
      </c>
      <c r="L65" s="47">
        <f t="shared" si="24"/>
        <v>0</v>
      </c>
      <c r="M65" s="47">
        <f t="shared" si="24"/>
        <v>0</v>
      </c>
      <c r="N65" s="47">
        <f t="shared" si="24"/>
        <v>0</v>
      </c>
    </row>
    <row r="66" spans="1:22" x14ac:dyDescent="0.2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  <c r="J66" s="47">
        <f t="shared" si="23"/>
        <v>717</v>
      </c>
      <c r="K66" s="47">
        <f t="shared" ref="K66:N66" si="25">J66</f>
        <v>717</v>
      </c>
      <c r="L66" s="47">
        <f t="shared" si="25"/>
        <v>717</v>
      </c>
      <c r="M66" s="47">
        <f t="shared" si="25"/>
        <v>717</v>
      </c>
      <c r="N66" s="47">
        <f t="shared" si="25"/>
        <v>717</v>
      </c>
    </row>
    <row r="67" spans="1:22" x14ac:dyDescent="0.2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  <c r="J67" s="47">
        <f t="shared" si="23"/>
        <v>-650</v>
      </c>
      <c r="K67" s="47">
        <f t="shared" ref="K67:N67" si="26">J67</f>
        <v>-650</v>
      </c>
      <c r="L67" s="47">
        <f t="shared" si="26"/>
        <v>-650</v>
      </c>
      <c r="M67" s="47">
        <f t="shared" si="26"/>
        <v>-650</v>
      </c>
      <c r="N67" s="47">
        <f t="shared" si="26"/>
        <v>-650</v>
      </c>
    </row>
    <row r="68" spans="1:22" x14ac:dyDescent="0.2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  <c r="J68" s="47">
        <f t="shared" si="23"/>
        <v>638</v>
      </c>
      <c r="K68" s="47">
        <f t="shared" ref="K68:N68" si="27">J68</f>
        <v>638</v>
      </c>
      <c r="L68" s="47">
        <f t="shared" si="27"/>
        <v>638</v>
      </c>
      <c r="M68" s="47">
        <f t="shared" si="27"/>
        <v>638</v>
      </c>
      <c r="N68" s="47">
        <f t="shared" si="27"/>
        <v>638</v>
      </c>
    </row>
    <row r="69" spans="1:22" x14ac:dyDescent="0.2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  <c r="J69" s="47">
        <f t="shared" si="23"/>
        <v>123</v>
      </c>
      <c r="K69" s="47">
        <f t="shared" ref="K69:N69" si="28">J69</f>
        <v>123</v>
      </c>
      <c r="L69" s="47">
        <f t="shared" si="28"/>
        <v>123</v>
      </c>
      <c r="M69" s="47">
        <f t="shared" si="28"/>
        <v>123</v>
      </c>
      <c r="N69" s="47">
        <f t="shared" si="28"/>
        <v>123</v>
      </c>
    </row>
    <row r="70" spans="1:22" x14ac:dyDescent="0.2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  <c r="J70" s="47">
        <f t="shared" si="23"/>
        <v>-26</v>
      </c>
      <c r="K70" s="47">
        <f t="shared" ref="K70:N70" si="29">J70</f>
        <v>-26</v>
      </c>
      <c r="L70" s="47">
        <f t="shared" si="29"/>
        <v>-26</v>
      </c>
      <c r="M70" s="47">
        <f t="shared" si="29"/>
        <v>-26</v>
      </c>
      <c r="N70" s="47">
        <f t="shared" si="29"/>
        <v>-26</v>
      </c>
    </row>
    <row r="71" spans="1:22" x14ac:dyDescent="0.2">
      <c r="A71" s="2" t="s">
        <v>71</v>
      </c>
      <c r="B71" s="3"/>
      <c r="C71" s="3"/>
      <c r="D71" s="3"/>
      <c r="E71" s="3"/>
      <c r="F71" s="3"/>
      <c r="G71" s="3"/>
      <c r="H71" s="3"/>
      <c r="I71" s="3"/>
      <c r="J71" s="47">
        <f t="shared" si="23"/>
        <v>0</v>
      </c>
      <c r="K71" s="47">
        <f t="shared" ref="K71:N71" si="30">J71</f>
        <v>0</v>
      </c>
      <c r="L71" s="47">
        <f t="shared" si="30"/>
        <v>0</v>
      </c>
      <c r="M71" s="47">
        <f t="shared" si="30"/>
        <v>0</v>
      </c>
      <c r="N71" s="47">
        <f t="shared" si="30"/>
        <v>0</v>
      </c>
    </row>
    <row r="72" spans="1:22" x14ac:dyDescent="0.2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  <c r="J72" s="47">
        <f t="shared" si="23"/>
        <v>-504</v>
      </c>
      <c r="K72" s="47">
        <f t="shared" ref="K72:N72" si="31">J72</f>
        <v>-504</v>
      </c>
      <c r="L72" s="47">
        <f t="shared" si="31"/>
        <v>-504</v>
      </c>
      <c r="M72" s="47">
        <f t="shared" si="31"/>
        <v>-504</v>
      </c>
      <c r="N72" s="47">
        <f t="shared" si="31"/>
        <v>-504</v>
      </c>
    </row>
    <row r="73" spans="1:22" x14ac:dyDescent="0.2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  <c r="J73" s="47">
        <f t="shared" si="23"/>
        <v>-1676</v>
      </c>
      <c r="K73" s="47">
        <f t="shared" ref="K73:N73" si="32">J73</f>
        <v>-1676</v>
      </c>
      <c r="L73" s="47">
        <f t="shared" si="32"/>
        <v>-1676</v>
      </c>
      <c r="M73" s="47">
        <f t="shared" si="32"/>
        <v>-1676</v>
      </c>
      <c r="N73" s="47">
        <f t="shared" si="32"/>
        <v>-1676</v>
      </c>
    </row>
    <row r="74" spans="1:22" x14ac:dyDescent="0.2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  <c r="J74" s="47">
        <f t="shared" si="23"/>
        <v>-845</v>
      </c>
      <c r="K74" s="47">
        <f t="shared" ref="K74:N74" si="33">J74</f>
        <v>-845</v>
      </c>
      <c r="L74" s="47">
        <f t="shared" si="33"/>
        <v>-845</v>
      </c>
      <c r="M74" s="47">
        <f t="shared" si="33"/>
        <v>-845</v>
      </c>
      <c r="N74" s="47">
        <f t="shared" si="33"/>
        <v>-845</v>
      </c>
    </row>
    <row r="75" spans="1:22" x14ac:dyDescent="0.2">
      <c r="A75" s="11" t="s">
        <v>97</v>
      </c>
      <c r="B75" s="3">
        <v>1237</v>
      </c>
      <c r="C75" s="3">
        <v>-889</v>
      </c>
      <c r="D75" s="3">
        <v>-364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  <c r="J75" s="47">
        <f t="shared" si="23"/>
        <v>1365</v>
      </c>
      <c r="K75" s="47">
        <f t="shared" ref="K75:N75" si="34">J75</f>
        <v>1365</v>
      </c>
      <c r="L75" s="47">
        <f t="shared" si="34"/>
        <v>1365</v>
      </c>
      <c r="M75" s="47">
        <f t="shared" si="34"/>
        <v>1365</v>
      </c>
      <c r="N75" s="47">
        <f t="shared" si="34"/>
        <v>1365</v>
      </c>
    </row>
    <row r="76" spans="1:22" x14ac:dyDescent="0.2">
      <c r="A76" s="25" t="s">
        <v>74</v>
      </c>
      <c r="B76" s="26">
        <f t="shared" ref="B76:F76" si="35">+SUM(B64:B75)</f>
        <v>4680</v>
      </c>
      <c r="C76" s="26">
        <f t="shared" si="35"/>
        <v>3096</v>
      </c>
      <c r="D76" s="26">
        <f t="shared" si="35"/>
        <v>3640</v>
      </c>
      <c r="E76" s="26">
        <f t="shared" si="35"/>
        <v>4955</v>
      </c>
      <c r="F76" s="26">
        <f t="shared" si="35"/>
        <v>5903</v>
      </c>
      <c r="G76" s="26">
        <f>+SUM(G64:G75)</f>
        <v>2485</v>
      </c>
      <c r="H76" s="26">
        <f t="shared" ref="H76" si="36">+SUM(H64:H75)</f>
        <v>6657</v>
      </c>
      <c r="I76" s="26">
        <f>+SUM(I64:I75)</f>
        <v>5188</v>
      </c>
      <c r="J76" s="47">
        <f t="shared" si="23"/>
        <v>5188</v>
      </c>
      <c r="K76" s="47">
        <f t="shared" ref="K76:N76" si="37">J76</f>
        <v>5188</v>
      </c>
      <c r="L76" s="47">
        <f t="shared" si="37"/>
        <v>5188</v>
      </c>
      <c r="M76" s="47">
        <f t="shared" si="37"/>
        <v>5188</v>
      </c>
      <c r="N76" s="47">
        <f t="shared" si="37"/>
        <v>5188</v>
      </c>
    </row>
    <row r="77" spans="1:22" x14ac:dyDescent="0.2">
      <c r="A77" s="1" t="s">
        <v>75</v>
      </c>
      <c r="B77" s="3"/>
      <c r="C77" s="3"/>
      <c r="D77" s="3"/>
      <c r="E77" s="3"/>
      <c r="F77" s="3"/>
      <c r="G77" s="3"/>
      <c r="H77" s="3"/>
      <c r="I77" s="3"/>
      <c r="J77" s="47">
        <f t="shared" si="23"/>
        <v>0</v>
      </c>
      <c r="K77" s="47">
        <f t="shared" ref="K77:N77" si="38">J77</f>
        <v>0</v>
      </c>
      <c r="L77" s="47">
        <f t="shared" si="38"/>
        <v>0</v>
      </c>
      <c r="M77" s="47">
        <f t="shared" si="38"/>
        <v>0</v>
      </c>
      <c r="N77" s="47">
        <f t="shared" si="38"/>
        <v>0</v>
      </c>
      <c r="Q77" s="3">
        <v>-4936</v>
      </c>
      <c r="R77" s="3">
        <v>-5367</v>
      </c>
      <c r="S77" s="3">
        <v>-5928</v>
      </c>
      <c r="T77" s="3">
        <v>-4783</v>
      </c>
      <c r="U77" s="3">
        <v>-2937</v>
      </c>
      <c r="V77" s="3">
        <v>-2426</v>
      </c>
    </row>
    <row r="78" spans="1:22" x14ac:dyDescent="0.2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  <c r="J78" s="47">
        <f t="shared" si="23"/>
        <v>-12913</v>
      </c>
      <c r="K78" s="47">
        <f t="shared" ref="K78:N78" si="39">J78</f>
        <v>-12913</v>
      </c>
      <c r="L78" s="47">
        <f t="shared" si="39"/>
        <v>-12913</v>
      </c>
      <c r="M78" s="47">
        <f t="shared" si="39"/>
        <v>-12913</v>
      </c>
      <c r="N78" s="47">
        <f t="shared" si="39"/>
        <v>-12913</v>
      </c>
      <c r="Q78" s="3">
        <v>3655</v>
      </c>
      <c r="R78" s="3">
        <v>2924</v>
      </c>
      <c r="S78" s="3">
        <v>3623</v>
      </c>
      <c r="T78" s="3">
        <v>3613</v>
      </c>
      <c r="U78" s="3">
        <v>1715</v>
      </c>
      <c r="V78" s="3">
        <v>74</v>
      </c>
    </row>
    <row r="79" spans="1:22" x14ac:dyDescent="0.2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  <c r="J79" s="47">
        <f t="shared" si="23"/>
        <v>8199</v>
      </c>
      <c r="K79" s="47">
        <f t="shared" ref="K79:N79" si="40">J79</f>
        <v>8199</v>
      </c>
      <c r="L79" s="47">
        <f t="shared" si="40"/>
        <v>8199</v>
      </c>
      <c r="M79" s="47">
        <f t="shared" si="40"/>
        <v>8199</v>
      </c>
      <c r="N79" s="47">
        <f t="shared" si="40"/>
        <v>8199</v>
      </c>
      <c r="Q79" s="3">
        <v>2216</v>
      </c>
      <c r="R79" s="3">
        <v>2386</v>
      </c>
      <c r="S79" s="3">
        <v>2423</v>
      </c>
      <c r="T79" s="3">
        <v>2496</v>
      </c>
      <c r="U79" s="3">
        <v>2072</v>
      </c>
      <c r="V79" s="3">
        <v>2379</v>
      </c>
    </row>
    <row r="80" spans="1:22" x14ac:dyDescent="0.2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  <c r="J80" s="47">
        <f t="shared" si="23"/>
        <v>3967</v>
      </c>
      <c r="K80" s="47">
        <f t="shared" ref="K80:N80" si="41">J80</f>
        <v>3967</v>
      </c>
      <c r="L80" s="47">
        <f t="shared" si="41"/>
        <v>3967</v>
      </c>
      <c r="M80" s="47">
        <f t="shared" si="41"/>
        <v>3967</v>
      </c>
      <c r="N80" s="47">
        <f t="shared" si="41"/>
        <v>3967</v>
      </c>
      <c r="Q80" s="3">
        <v>-150</v>
      </c>
      <c r="R80" s="3">
        <v>150</v>
      </c>
      <c r="S80" s="3">
        <v>0</v>
      </c>
      <c r="T80" s="3">
        <v>0</v>
      </c>
      <c r="U80" s="3"/>
      <c r="V80" s="3"/>
    </row>
    <row r="81" spans="1:22" x14ac:dyDescent="0.2">
      <c r="A81" s="2" t="s">
        <v>205</v>
      </c>
      <c r="B81" s="3">
        <v>-150</v>
      </c>
      <c r="C81" s="3">
        <v>150</v>
      </c>
      <c r="D81" s="3">
        <v>0</v>
      </c>
      <c r="E81" s="3">
        <v>0</v>
      </c>
      <c r="F81" s="3"/>
      <c r="G81" s="3"/>
      <c r="H81" s="3"/>
      <c r="I81" s="3"/>
      <c r="J81" s="47">
        <f t="shared" si="23"/>
        <v>0</v>
      </c>
      <c r="K81" s="47">
        <f t="shared" ref="K81:N81" si="42">J81</f>
        <v>0</v>
      </c>
      <c r="L81" s="47">
        <f t="shared" si="42"/>
        <v>0</v>
      </c>
      <c r="M81" s="47">
        <f t="shared" si="42"/>
        <v>0</v>
      </c>
      <c r="N81" s="47">
        <f t="shared" si="42"/>
        <v>0</v>
      </c>
      <c r="Q81" s="3">
        <v>-963</v>
      </c>
      <c r="R81" s="3">
        <v>-1143</v>
      </c>
      <c r="S81" s="3">
        <v>-1105</v>
      </c>
      <c r="T81" s="3">
        <v>-1028</v>
      </c>
      <c r="U81" s="3">
        <v>-1119</v>
      </c>
      <c r="V81" s="3">
        <v>-1086</v>
      </c>
    </row>
    <row r="82" spans="1:22" x14ac:dyDescent="0.2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  <c r="J82" s="47">
        <f t="shared" si="23"/>
        <v>-758</v>
      </c>
      <c r="K82" s="47">
        <f t="shared" ref="K82:N82" si="43">J82</f>
        <v>-758</v>
      </c>
      <c r="L82" s="47">
        <f t="shared" si="43"/>
        <v>-758</v>
      </c>
      <c r="M82" s="47">
        <f t="shared" si="43"/>
        <v>-758</v>
      </c>
      <c r="N82" s="47">
        <f t="shared" si="43"/>
        <v>-758</v>
      </c>
      <c r="Q82" s="3">
        <v>3</v>
      </c>
      <c r="R82" s="3">
        <v>10</v>
      </c>
      <c r="S82" s="3">
        <v>13</v>
      </c>
      <c r="T82" s="3">
        <v>3</v>
      </c>
      <c r="U82" s="3"/>
      <c r="V82" s="3"/>
    </row>
    <row r="83" spans="1:22" x14ac:dyDescent="0.2">
      <c r="A83" s="2" t="s">
        <v>206</v>
      </c>
      <c r="B83" s="3">
        <v>3</v>
      </c>
      <c r="C83" s="3">
        <v>10</v>
      </c>
      <c r="D83" s="3">
        <v>13</v>
      </c>
      <c r="E83" s="3">
        <v>3</v>
      </c>
      <c r="F83" s="3"/>
      <c r="G83" s="3"/>
      <c r="H83" s="3"/>
      <c r="I83" s="3"/>
      <c r="J83" s="47">
        <f t="shared" si="23"/>
        <v>0</v>
      </c>
      <c r="K83" s="47">
        <f t="shared" ref="K83:N83" si="44">J83</f>
        <v>0</v>
      </c>
      <c r="L83" s="47">
        <f t="shared" si="44"/>
        <v>0</v>
      </c>
      <c r="M83" s="47">
        <f t="shared" si="44"/>
        <v>0</v>
      </c>
      <c r="N83" s="47">
        <f t="shared" si="44"/>
        <v>0</v>
      </c>
      <c r="Q83" s="3">
        <v>0</v>
      </c>
      <c r="R83" s="3">
        <v>6</v>
      </c>
      <c r="S83" s="3">
        <v>-34</v>
      </c>
      <c r="T83" s="3">
        <v>-25</v>
      </c>
      <c r="U83" s="3">
        <v>5</v>
      </c>
      <c r="V83" s="3">
        <v>31</v>
      </c>
    </row>
    <row r="84" spans="1:22" x14ac:dyDescent="0.2">
      <c r="A84" s="2" t="s">
        <v>79</v>
      </c>
      <c r="B84" s="3">
        <v>0</v>
      </c>
      <c r="C84" s="3">
        <v>6</v>
      </c>
      <c r="D84" s="3">
        <v>-34</v>
      </c>
      <c r="E84" s="3">
        <v>-25</v>
      </c>
      <c r="F84" s="3">
        <v>5</v>
      </c>
      <c r="G84" s="3">
        <v>31</v>
      </c>
      <c r="H84" s="3">
        <v>171</v>
      </c>
      <c r="I84" s="3">
        <v>-19</v>
      </c>
      <c r="J84" s="47">
        <f t="shared" si="23"/>
        <v>-19</v>
      </c>
      <c r="K84" s="47">
        <f t="shared" ref="K84:N84" si="45">J84</f>
        <v>-19</v>
      </c>
      <c r="L84" s="47">
        <f t="shared" si="45"/>
        <v>-19</v>
      </c>
      <c r="M84" s="47">
        <f t="shared" si="45"/>
        <v>-19</v>
      </c>
      <c r="N84" s="47">
        <f t="shared" si="45"/>
        <v>-19</v>
      </c>
      <c r="Q84" s="26">
        <f t="shared" ref="Q84:V84" si="46">+SUM(Q77:Q83)</f>
        <v>-175</v>
      </c>
      <c r="R84" s="26">
        <f t="shared" si="46"/>
        <v>-1034</v>
      </c>
      <c r="S84" s="26">
        <f t="shared" si="46"/>
        <v>-1008</v>
      </c>
      <c r="T84" s="26">
        <f t="shared" si="46"/>
        <v>276</v>
      </c>
      <c r="U84" s="26">
        <f t="shared" si="46"/>
        <v>-264</v>
      </c>
      <c r="V84" s="26">
        <f t="shared" si="46"/>
        <v>-1028</v>
      </c>
    </row>
    <row r="85" spans="1:22" x14ac:dyDescent="0.2">
      <c r="A85" s="27" t="s">
        <v>80</v>
      </c>
      <c r="B85" s="26">
        <f t="shared" ref="B85:I85" si="47">+SUM(B78:B84)</f>
        <v>-175</v>
      </c>
      <c r="C85" s="26">
        <f t="shared" si="47"/>
        <v>-1034</v>
      </c>
      <c r="D85" s="26">
        <f t="shared" si="47"/>
        <v>-1008</v>
      </c>
      <c r="E85" s="26">
        <f t="shared" si="47"/>
        <v>276</v>
      </c>
      <c r="F85" s="26">
        <f t="shared" si="47"/>
        <v>-264</v>
      </c>
      <c r="G85" s="26">
        <f t="shared" si="47"/>
        <v>-1028</v>
      </c>
      <c r="H85" s="26">
        <f t="shared" si="47"/>
        <v>-3800</v>
      </c>
      <c r="I85" s="26">
        <f t="shared" si="47"/>
        <v>-1524</v>
      </c>
      <c r="J85" s="47">
        <f t="shared" si="23"/>
        <v>-1524</v>
      </c>
      <c r="K85" s="47">
        <f t="shared" ref="K85:N85" si="48">J85</f>
        <v>-1524</v>
      </c>
      <c r="L85" s="47">
        <f t="shared" si="48"/>
        <v>-1524</v>
      </c>
      <c r="M85" s="47">
        <f t="shared" si="48"/>
        <v>-1524</v>
      </c>
      <c r="N85" s="47">
        <f t="shared" si="48"/>
        <v>-1524</v>
      </c>
    </row>
    <row r="86" spans="1:22" x14ac:dyDescent="0.2">
      <c r="A86" s="1" t="s">
        <v>81</v>
      </c>
      <c r="B86" s="3"/>
      <c r="C86" s="3"/>
      <c r="D86" s="3"/>
      <c r="E86" s="3"/>
      <c r="F86" s="3"/>
      <c r="G86" s="3"/>
      <c r="H86" s="3"/>
      <c r="I86" s="3"/>
      <c r="J86" s="47">
        <f t="shared" si="23"/>
        <v>0</v>
      </c>
      <c r="K86" s="47">
        <f t="shared" ref="K86:N86" si="49">J86</f>
        <v>0</v>
      </c>
      <c r="L86" s="47">
        <f t="shared" si="49"/>
        <v>0</v>
      </c>
      <c r="M86" s="47">
        <f t="shared" si="49"/>
        <v>0</v>
      </c>
      <c r="N86" s="47">
        <f t="shared" si="49"/>
        <v>0</v>
      </c>
    </row>
    <row r="87" spans="1:22" x14ac:dyDescent="0.2">
      <c r="A87" s="2" t="s">
        <v>82</v>
      </c>
      <c r="B87" s="3">
        <v>0</v>
      </c>
      <c r="C87" s="3">
        <v>981</v>
      </c>
      <c r="D87" s="3">
        <v>1482</v>
      </c>
      <c r="E87" s="3">
        <v>0</v>
      </c>
      <c r="F87" s="3"/>
      <c r="G87" s="3">
        <v>6134</v>
      </c>
      <c r="H87" s="3">
        <v>0</v>
      </c>
      <c r="I87" s="3">
        <v>0</v>
      </c>
      <c r="J87" s="47">
        <f t="shared" si="23"/>
        <v>0</v>
      </c>
      <c r="K87" s="47">
        <f t="shared" ref="K87:N87" si="50">J87</f>
        <v>0</v>
      </c>
      <c r="L87" s="47">
        <f t="shared" si="50"/>
        <v>0</v>
      </c>
      <c r="M87" s="47">
        <f t="shared" si="50"/>
        <v>0</v>
      </c>
      <c r="N87" s="47">
        <f t="shared" si="50"/>
        <v>0</v>
      </c>
    </row>
    <row r="88" spans="1:22" x14ac:dyDescent="0.2">
      <c r="A88" s="2" t="s">
        <v>207</v>
      </c>
      <c r="B88" s="3">
        <v>-7</v>
      </c>
      <c r="C88" s="3">
        <v>-106</v>
      </c>
      <c r="D88" s="3">
        <v>-44</v>
      </c>
      <c r="E88" s="3">
        <v>-6</v>
      </c>
      <c r="F88" s="3"/>
      <c r="G88" s="3"/>
      <c r="H88" s="3"/>
      <c r="I88" s="3"/>
      <c r="J88" s="47">
        <f t="shared" si="23"/>
        <v>0</v>
      </c>
      <c r="K88" s="47">
        <f t="shared" ref="K88:N88" si="51">J88</f>
        <v>0</v>
      </c>
      <c r="L88" s="47">
        <f t="shared" si="51"/>
        <v>0</v>
      </c>
      <c r="M88" s="47">
        <f t="shared" si="51"/>
        <v>0</v>
      </c>
      <c r="N88" s="47">
        <f t="shared" si="51"/>
        <v>0</v>
      </c>
    </row>
    <row r="89" spans="1:22" x14ac:dyDescent="0.2">
      <c r="A89" s="2" t="s">
        <v>83</v>
      </c>
      <c r="B89" s="3">
        <v>-63</v>
      </c>
      <c r="C89" s="3">
        <v>-67</v>
      </c>
      <c r="D89" s="3">
        <v>327</v>
      </c>
      <c r="E89" s="3">
        <v>13</v>
      </c>
      <c r="F89" s="3">
        <v>-325</v>
      </c>
      <c r="G89" s="3">
        <v>49</v>
      </c>
      <c r="H89" s="3">
        <v>-52</v>
      </c>
      <c r="I89" s="3">
        <v>15</v>
      </c>
      <c r="J89" s="47">
        <f t="shared" si="23"/>
        <v>15</v>
      </c>
      <c r="K89" s="47">
        <f t="shared" ref="K89:N89" si="52">J89</f>
        <v>15</v>
      </c>
      <c r="L89" s="47">
        <f t="shared" si="52"/>
        <v>15</v>
      </c>
      <c r="M89" s="47">
        <f t="shared" si="52"/>
        <v>15</v>
      </c>
      <c r="N89" s="47">
        <f t="shared" si="52"/>
        <v>15</v>
      </c>
    </row>
    <row r="90" spans="1:22" x14ac:dyDescent="0.2">
      <c r="A90" s="2" t="s">
        <v>84</v>
      </c>
      <c r="B90" s="3">
        <v>-19</v>
      </c>
      <c r="C90" s="3">
        <v>-7</v>
      </c>
      <c r="D90" s="3">
        <v>-17</v>
      </c>
      <c r="E90" s="3">
        <v>-23</v>
      </c>
      <c r="F90" s="3">
        <v>-6</v>
      </c>
      <c r="G90" s="3">
        <v>-6</v>
      </c>
      <c r="H90" s="3">
        <v>-197</v>
      </c>
      <c r="I90" s="3">
        <v>0</v>
      </c>
      <c r="J90" s="47">
        <f t="shared" si="23"/>
        <v>0</v>
      </c>
      <c r="K90" s="47">
        <f t="shared" ref="K90:N90" si="53">J90</f>
        <v>0</v>
      </c>
      <c r="L90" s="47">
        <f t="shared" si="53"/>
        <v>0</v>
      </c>
      <c r="M90" s="47">
        <f t="shared" si="53"/>
        <v>0</v>
      </c>
      <c r="N90" s="47">
        <f t="shared" si="53"/>
        <v>0</v>
      </c>
    </row>
    <row r="91" spans="1:22" x14ac:dyDescent="0.2">
      <c r="A91" s="2" t="s">
        <v>85</v>
      </c>
      <c r="B91" s="3">
        <v>514</v>
      </c>
      <c r="C91" s="3">
        <v>507</v>
      </c>
      <c r="D91" s="3">
        <v>489</v>
      </c>
      <c r="E91" s="3">
        <v>733</v>
      </c>
      <c r="F91" s="3">
        <v>700</v>
      </c>
      <c r="G91" s="3">
        <v>885</v>
      </c>
      <c r="H91" s="3">
        <v>1172</v>
      </c>
      <c r="I91" s="3">
        <v>1151</v>
      </c>
      <c r="J91" s="47">
        <f t="shared" si="23"/>
        <v>1151</v>
      </c>
      <c r="K91" s="47">
        <f t="shared" ref="K91:N91" si="54">J91</f>
        <v>1151</v>
      </c>
      <c r="L91" s="47">
        <f t="shared" si="54"/>
        <v>1151</v>
      </c>
      <c r="M91" s="47">
        <f t="shared" si="54"/>
        <v>1151</v>
      </c>
      <c r="N91" s="47">
        <f t="shared" si="54"/>
        <v>1151</v>
      </c>
    </row>
    <row r="92" spans="1:22" x14ac:dyDescent="0.2">
      <c r="A92" s="2" t="s">
        <v>208</v>
      </c>
      <c r="B92" s="3">
        <v>218</v>
      </c>
      <c r="C92" s="3">
        <v>281</v>
      </c>
      <c r="D92" s="3">
        <v>177</v>
      </c>
      <c r="E92" s="3"/>
      <c r="F92" s="3"/>
      <c r="G92" s="3"/>
      <c r="H92" s="3"/>
      <c r="I92" s="3"/>
      <c r="J92" s="47">
        <f t="shared" si="23"/>
        <v>0</v>
      </c>
      <c r="K92" s="47">
        <f t="shared" ref="K92:N92" si="55">J92</f>
        <v>0</v>
      </c>
      <c r="L92" s="47">
        <f t="shared" si="55"/>
        <v>0</v>
      </c>
      <c r="M92" s="47">
        <f t="shared" si="55"/>
        <v>0</v>
      </c>
      <c r="N92" s="47">
        <f t="shared" si="55"/>
        <v>0</v>
      </c>
    </row>
    <row r="93" spans="1:22" x14ac:dyDescent="0.2">
      <c r="A93" s="2" t="s">
        <v>16</v>
      </c>
      <c r="B93" s="3">
        <v>-2534</v>
      </c>
      <c r="C93" s="3">
        <v>-3238</v>
      </c>
      <c r="D93" s="3">
        <v>-3223</v>
      </c>
      <c r="E93" s="3">
        <v>-4254</v>
      </c>
      <c r="F93" s="3">
        <v>-4286</v>
      </c>
      <c r="G93" s="3">
        <v>-3067</v>
      </c>
      <c r="H93" s="3">
        <v>-608</v>
      </c>
      <c r="I93" s="3">
        <v>-4014</v>
      </c>
      <c r="J93" s="47">
        <f t="shared" si="23"/>
        <v>-4014</v>
      </c>
      <c r="K93" s="47">
        <f t="shared" ref="K93:N93" si="56">J93</f>
        <v>-4014</v>
      </c>
      <c r="L93" s="47">
        <f t="shared" si="56"/>
        <v>-4014</v>
      </c>
      <c r="M93" s="47">
        <f t="shared" si="56"/>
        <v>-4014</v>
      </c>
      <c r="N93" s="47">
        <f t="shared" si="56"/>
        <v>-4014</v>
      </c>
    </row>
    <row r="94" spans="1:22" x14ac:dyDescent="0.2">
      <c r="A94" s="2" t="s">
        <v>86</v>
      </c>
      <c r="B94" s="3">
        <v>-899</v>
      </c>
      <c r="C94" s="3">
        <v>-1022</v>
      </c>
      <c r="D94" s="3">
        <v>-1133</v>
      </c>
      <c r="E94" s="3">
        <v>-1243</v>
      </c>
      <c r="F94" s="3">
        <v>-1332</v>
      </c>
      <c r="G94" s="3">
        <v>-1452</v>
      </c>
      <c r="H94" s="3">
        <v>-1638</v>
      </c>
      <c r="I94" s="3">
        <v>-1837</v>
      </c>
      <c r="J94" s="47">
        <f t="shared" si="23"/>
        <v>-1837</v>
      </c>
      <c r="K94" s="47">
        <f t="shared" ref="K94:N94" si="57">J94</f>
        <v>-1837</v>
      </c>
      <c r="L94" s="47">
        <f t="shared" si="57"/>
        <v>-1837</v>
      </c>
      <c r="M94" s="47">
        <f t="shared" si="57"/>
        <v>-1837</v>
      </c>
      <c r="N94" s="47">
        <f t="shared" si="57"/>
        <v>-1837</v>
      </c>
    </row>
    <row r="95" spans="1:22" x14ac:dyDescent="0.2">
      <c r="A95" s="2" t="s">
        <v>87</v>
      </c>
      <c r="B95" s="3">
        <v>0</v>
      </c>
      <c r="C95" s="3"/>
      <c r="D95" s="3"/>
      <c r="E95" s="3">
        <v>-55</v>
      </c>
      <c r="F95" s="3">
        <v>-44</v>
      </c>
      <c r="G95" s="3">
        <v>-52</v>
      </c>
      <c r="H95" s="3">
        <v>-136</v>
      </c>
      <c r="I95" s="3">
        <v>-151</v>
      </c>
      <c r="J95" s="47">
        <f t="shared" si="23"/>
        <v>-151</v>
      </c>
      <c r="K95" s="47">
        <f t="shared" ref="K95:N95" si="58">J95</f>
        <v>-151</v>
      </c>
      <c r="L95" s="47">
        <f t="shared" si="58"/>
        <v>-151</v>
      </c>
      <c r="M95" s="47">
        <f t="shared" si="58"/>
        <v>-151</v>
      </c>
      <c r="N95" s="47">
        <f t="shared" si="58"/>
        <v>-151</v>
      </c>
    </row>
    <row r="96" spans="1:22" x14ac:dyDescent="0.2">
      <c r="A96" s="27" t="s">
        <v>88</v>
      </c>
      <c r="B96" s="26">
        <f t="shared" ref="B96:I96" si="59">+SUM(B87:B95)</f>
        <v>-2790</v>
      </c>
      <c r="C96" s="26">
        <f t="shared" si="59"/>
        <v>-2671</v>
      </c>
      <c r="D96" s="26">
        <f t="shared" si="59"/>
        <v>-1942</v>
      </c>
      <c r="E96" s="26">
        <f t="shared" si="59"/>
        <v>-4835</v>
      </c>
      <c r="F96" s="26">
        <f t="shared" si="59"/>
        <v>-5293</v>
      </c>
      <c r="G96" s="26">
        <f t="shared" si="59"/>
        <v>2491</v>
      </c>
      <c r="H96" s="26">
        <f t="shared" si="59"/>
        <v>-1459</v>
      </c>
      <c r="I96" s="26">
        <f t="shared" si="59"/>
        <v>-4836</v>
      </c>
      <c r="J96" s="47">
        <f t="shared" si="23"/>
        <v>-4836</v>
      </c>
      <c r="K96" s="47">
        <f t="shared" ref="K96:N96" si="60">J96</f>
        <v>-4836</v>
      </c>
      <c r="L96" s="47">
        <f t="shared" si="60"/>
        <v>-4836</v>
      </c>
      <c r="M96" s="47">
        <f t="shared" si="60"/>
        <v>-4836</v>
      </c>
      <c r="N96" s="47">
        <f t="shared" si="60"/>
        <v>-4836</v>
      </c>
    </row>
    <row r="97" spans="1:14" x14ac:dyDescent="0.2">
      <c r="A97" s="2" t="s">
        <v>89</v>
      </c>
      <c r="B97" s="3">
        <v>-83</v>
      </c>
      <c r="C97" s="3">
        <v>-105</v>
      </c>
      <c r="D97" s="3">
        <v>-20</v>
      </c>
      <c r="E97" s="3">
        <v>45</v>
      </c>
      <c r="F97" s="3">
        <v>-129</v>
      </c>
      <c r="G97" s="3">
        <v>-66</v>
      </c>
      <c r="H97" s="3">
        <v>143</v>
      </c>
      <c r="I97" s="3">
        <v>-143</v>
      </c>
      <c r="J97" s="47">
        <f t="shared" si="23"/>
        <v>-143</v>
      </c>
      <c r="K97" s="47">
        <f t="shared" ref="K97:N97" si="61">J97</f>
        <v>-143</v>
      </c>
      <c r="L97" s="47">
        <f t="shared" si="61"/>
        <v>-143</v>
      </c>
      <c r="M97" s="47">
        <f t="shared" si="61"/>
        <v>-143</v>
      </c>
      <c r="N97" s="47">
        <f t="shared" si="61"/>
        <v>-143</v>
      </c>
    </row>
    <row r="98" spans="1:14" x14ac:dyDescent="0.2">
      <c r="A98" s="27" t="s">
        <v>90</v>
      </c>
      <c r="B98" s="26">
        <f>+B76+B85+B96+B97</f>
        <v>1632</v>
      </c>
      <c r="C98" s="26">
        <f>+C76+C85+C96+C97</f>
        <v>-714</v>
      </c>
      <c r="D98" s="26">
        <f>+D76+D85+D96+D97</f>
        <v>670</v>
      </c>
      <c r="E98" s="26">
        <f>+E76+E85+E96+E97</f>
        <v>441</v>
      </c>
      <c r="F98" s="26">
        <v>217</v>
      </c>
      <c r="G98" s="26">
        <f>+G76+G85+G96+G97</f>
        <v>3882</v>
      </c>
      <c r="H98" s="26">
        <f>+H76+H85+H96+H97</f>
        <v>1541</v>
      </c>
      <c r="I98" s="26">
        <f>+I76+I85+I96+I97</f>
        <v>-1315</v>
      </c>
      <c r="J98" s="47">
        <f t="shared" si="23"/>
        <v>-1315</v>
      </c>
      <c r="K98" s="47">
        <f t="shared" ref="K98:N98" si="62">J98</f>
        <v>-1315</v>
      </c>
      <c r="L98" s="47">
        <f t="shared" si="62"/>
        <v>-1315</v>
      </c>
      <c r="M98" s="47">
        <f t="shared" si="62"/>
        <v>-1315</v>
      </c>
      <c r="N98" s="47">
        <f t="shared" si="62"/>
        <v>-1315</v>
      </c>
    </row>
    <row r="99" spans="1:14" x14ac:dyDescent="0.2">
      <c r="A99" t="s">
        <v>91</v>
      </c>
      <c r="B99" s="3">
        <v>2220</v>
      </c>
      <c r="C99" s="3">
        <f>B100</f>
        <v>3852</v>
      </c>
      <c r="D99" s="3">
        <f t="shared" ref="D99:I99" si="63">C100</f>
        <v>3138</v>
      </c>
      <c r="E99" s="3">
        <f t="shared" si="63"/>
        <v>3808</v>
      </c>
      <c r="F99" s="3">
        <f t="shared" si="63"/>
        <v>4249</v>
      </c>
      <c r="G99" s="3">
        <f t="shared" si="63"/>
        <v>4466</v>
      </c>
      <c r="H99" s="3">
        <f t="shared" si="63"/>
        <v>8348</v>
      </c>
      <c r="I99" s="3">
        <f t="shared" si="63"/>
        <v>9889</v>
      </c>
      <c r="J99" s="47">
        <f t="shared" si="23"/>
        <v>9889</v>
      </c>
      <c r="K99" s="47">
        <f t="shared" ref="K99:N99" si="64">J99</f>
        <v>9889</v>
      </c>
      <c r="L99" s="47">
        <f t="shared" si="64"/>
        <v>9889</v>
      </c>
      <c r="M99" s="47">
        <f t="shared" si="64"/>
        <v>9889</v>
      </c>
      <c r="N99" s="47">
        <f t="shared" si="64"/>
        <v>9889</v>
      </c>
    </row>
    <row r="100" spans="1:14" ht="16" thickBot="1" x14ac:dyDescent="0.25">
      <c r="A100" s="6" t="s">
        <v>92</v>
      </c>
      <c r="B100" s="7">
        <f>B98+B99</f>
        <v>3852</v>
      </c>
      <c r="C100" s="7">
        <f>C98+C99</f>
        <v>3138</v>
      </c>
      <c r="D100" s="7">
        <f t="shared" ref="D100:I100" si="65">D98+D99</f>
        <v>3808</v>
      </c>
      <c r="E100" s="7">
        <f t="shared" si="65"/>
        <v>4249</v>
      </c>
      <c r="F100" s="7">
        <f t="shared" si="65"/>
        <v>4466</v>
      </c>
      <c r="G100" s="7">
        <f t="shared" si="65"/>
        <v>8348</v>
      </c>
      <c r="H100" s="7">
        <f t="shared" si="65"/>
        <v>9889</v>
      </c>
      <c r="I100" s="7">
        <f t="shared" si="65"/>
        <v>8574</v>
      </c>
      <c r="J100" s="47">
        <f t="shared" si="23"/>
        <v>8574</v>
      </c>
      <c r="K100" s="47">
        <f t="shared" si="23"/>
        <v>8574</v>
      </c>
      <c r="L100" s="47">
        <f t="shared" si="23"/>
        <v>8574</v>
      </c>
      <c r="M100" s="47">
        <f t="shared" si="23"/>
        <v>8574</v>
      </c>
      <c r="N100" s="47">
        <f t="shared" si="23"/>
        <v>8574</v>
      </c>
    </row>
    <row r="101" spans="1:14" s="12" customFormat="1" ht="16" thickTop="1" x14ac:dyDescent="0.2">
      <c r="A101" s="12" t="s">
        <v>19</v>
      </c>
      <c r="B101" s="13">
        <f t="shared" ref="B101:H101" si="66">+B100-B25</f>
        <v>0</v>
      </c>
      <c r="C101" s="13">
        <f t="shared" si="66"/>
        <v>0</v>
      </c>
      <c r="D101" s="13">
        <f t="shared" si="66"/>
        <v>0</v>
      </c>
      <c r="E101" s="13">
        <f t="shared" si="66"/>
        <v>0</v>
      </c>
      <c r="F101" s="13">
        <f t="shared" si="66"/>
        <v>0</v>
      </c>
      <c r="G101" s="13">
        <f t="shared" si="66"/>
        <v>0</v>
      </c>
      <c r="H101" s="13">
        <f t="shared" si="66"/>
        <v>0</v>
      </c>
      <c r="I101" s="13">
        <f>+I100-I25</f>
        <v>0</v>
      </c>
      <c r="J101" s="47">
        <f t="shared" si="23"/>
        <v>0</v>
      </c>
      <c r="K101" s="47">
        <f t="shared" si="23"/>
        <v>0</v>
      </c>
      <c r="L101" s="47">
        <f t="shared" si="23"/>
        <v>0</v>
      </c>
      <c r="M101" s="47">
        <f t="shared" si="23"/>
        <v>0</v>
      </c>
      <c r="N101" s="47">
        <f t="shared" si="23"/>
        <v>0</v>
      </c>
    </row>
    <row r="102" spans="1:14" x14ac:dyDescent="0.2">
      <c r="A102" t="s">
        <v>93</v>
      </c>
      <c r="B102" s="3"/>
      <c r="C102" s="3"/>
      <c r="D102" s="3"/>
      <c r="E102" s="3"/>
      <c r="F102" s="3"/>
      <c r="G102" s="3"/>
      <c r="H102" s="3"/>
      <c r="I102" s="3"/>
      <c r="J102" s="47">
        <f t="shared" si="23"/>
        <v>0</v>
      </c>
      <c r="K102" s="47">
        <f t="shared" si="23"/>
        <v>0</v>
      </c>
      <c r="L102" s="47">
        <f t="shared" si="23"/>
        <v>0</v>
      </c>
      <c r="M102" s="47">
        <f t="shared" si="23"/>
        <v>0</v>
      </c>
      <c r="N102" s="47">
        <f t="shared" si="23"/>
        <v>0</v>
      </c>
    </row>
    <row r="103" spans="1:14" x14ac:dyDescent="0.2">
      <c r="A103" s="2" t="s">
        <v>17</v>
      </c>
      <c r="B103" s="3"/>
      <c r="C103" s="3"/>
      <c r="D103" s="3"/>
      <c r="E103" s="3"/>
      <c r="F103" s="3"/>
      <c r="G103" s="3"/>
      <c r="H103" s="3"/>
      <c r="I103" s="3"/>
      <c r="J103" s="47">
        <f t="shared" si="23"/>
        <v>0</v>
      </c>
      <c r="K103" s="47">
        <f t="shared" si="23"/>
        <v>0</v>
      </c>
      <c r="L103" s="47">
        <f t="shared" si="23"/>
        <v>0</v>
      </c>
      <c r="M103" s="47">
        <f t="shared" si="23"/>
        <v>0</v>
      </c>
      <c r="N103" s="47">
        <f t="shared" si="23"/>
        <v>0</v>
      </c>
    </row>
    <row r="104" spans="1:14" x14ac:dyDescent="0.2">
      <c r="A104" s="11" t="s">
        <v>94</v>
      </c>
      <c r="B104" s="3">
        <v>53</v>
      </c>
      <c r="C104" s="3">
        <v>70</v>
      </c>
      <c r="D104" s="3">
        <v>98</v>
      </c>
      <c r="E104" s="3">
        <v>125</v>
      </c>
      <c r="F104" s="3">
        <v>153</v>
      </c>
      <c r="G104" s="3">
        <v>140</v>
      </c>
      <c r="H104" s="3">
        <v>293</v>
      </c>
      <c r="I104" s="3">
        <v>290</v>
      </c>
      <c r="J104" s="47">
        <f t="shared" si="23"/>
        <v>290</v>
      </c>
      <c r="K104" s="47">
        <f t="shared" si="23"/>
        <v>290</v>
      </c>
      <c r="L104" s="47">
        <f t="shared" si="23"/>
        <v>290</v>
      </c>
      <c r="M104" s="47">
        <f t="shared" si="23"/>
        <v>290</v>
      </c>
      <c r="N104" s="47">
        <f t="shared" si="23"/>
        <v>290</v>
      </c>
    </row>
    <row r="105" spans="1:14" x14ac:dyDescent="0.2">
      <c r="A105" s="11" t="s">
        <v>18</v>
      </c>
      <c r="B105" s="3">
        <v>1262</v>
      </c>
      <c r="C105" s="3">
        <v>748</v>
      </c>
      <c r="D105" s="3">
        <v>703</v>
      </c>
      <c r="E105" s="3">
        <v>529</v>
      </c>
      <c r="F105" s="3">
        <v>757</v>
      </c>
      <c r="G105" s="3">
        <v>1028</v>
      </c>
      <c r="H105" s="3">
        <v>1177</v>
      </c>
      <c r="I105" s="3">
        <v>1231</v>
      </c>
      <c r="J105" s="47">
        <f t="shared" si="23"/>
        <v>1231</v>
      </c>
      <c r="K105" s="47">
        <f t="shared" si="23"/>
        <v>1231</v>
      </c>
      <c r="L105" s="47">
        <f t="shared" si="23"/>
        <v>1231</v>
      </c>
      <c r="M105" s="47">
        <f t="shared" si="23"/>
        <v>1231</v>
      </c>
      <c r="N105" s="47">
        <f t="shared" si="23"/>
        <v>1231</v>
      </c>
    </row>
    <row r="106" spans="1:14" x14ac:dyDescent="0.2">
      <c r="A106" s="11" t="s">
        <v>95</v>
      </c>
      <c r="B106" s="3">
        <v>206</v>
      </c>
      <c r="C106" s="3">
        <v>252</v>
      </c>
      <c r="D106" s="3">
        <v>266</v>
      </c>
      <c r="E106" s="3">
        <v>294</v>
      </c>
      <c r="F106" s="3">
        <v>160</v>
      </c>
      <c r="G106" s="3">
        <v>121</v>
      </c>
      <c r="H106" s="3">
        <v>179</v>
      </c>
      <c r="I106" s="3">
        <v>160</v>
      </c>
      <c r="J106" s="47">
        <f t="shared" si="23"/>
        <v>160</v>
      </c>
      <c r="K106" s="47">
        <f t="shared" si="23"/>
        <v>160</v>
      </c>
      <c r="L106" s="47">
        <f t="shared" si="23"/>
        <v>160</v>
      </c>
      <c r="M106" s="47">
        <f t="shared" si="23"/>
        <v>160</v>
      </c>
      <c r="N106" s="47">
        <f t="shared" si="23"/>
        <v>160</v>
      </c>
    </row>
    <row r="107" spans="1:14" x14ac:dyDescent="0.2">
      <c r="A107" s="11" t="s">
        <v>96</v>
      </c>
      <c r="B107" s="3">
        <v>240</v>
      </c>
      <c r="C107" s="3">
        <v>271</v>
      </c>
      <c r="D107" s="3">
        <v>300</v>
      </c>
      <c r="E107" s="3">
        <v>320</v>
      </c>
      <c r="F107" s="3">
        <v>347</v>
      </c>
      <c r="G107" s="3">
        <v>385</v>
      </c>
      <c r="H107" s="3">
        <v>438</v>
      </c>
      <c r="I107" s="3">
        <v>480</v>
      </c>
      <c r="J107" s="47">
        <f t="shared" si="23"/>
        <v>480</v>
      </c>
      <c r="K107" s="47">
        <f t="shared" si="23"/>
        <v>480</v>
      </c>
      <c r="L107" s="47">
        <f t="shared" si="23"/>
        <v>480</v>
      </c>
      <c r="M107" s="47">
        <f t="shared" si="23"/>
        <v>480</v>
      </c>
      <c r="N107" s="47">
        <f t="shared" si="23"/>
        <v>480</v>
      </c>
    </row>
    <row r="109" spans="1:14" x14ac:dyDescent="0.2">
      <c r="A109" s="14" t="s">
        <v>99</v>
      </c>
      <c r="B109" s="14"/>
      <c r="C109" s="14"/>
      <c r="D109" s="14"/>
      <c r="E109" s="14"/>
      <c r="F109" s="14"/>
      <c r="G109" s="14"/>
      <c r="H109" s="14"/>
      <c r="I109" s="14"/>
    </row>
    <row r="110" spans="1:14" x14ac:dyDescent="0.2">
      <c r="A110" s="28" t="s">
        <v>109</v>
      </c>
      <c r="B110" s="3"/>
      <c r="C110" s="3"/>
      <c r="D110" s="3"/>
      <c r="E110" s="3"/>
      <c r="F110" s="3"/>
      <c r="G110" s="3"/>
      <c r="H110" s="3"/>
      <c r="I110" s="3"/>
    </row>
    <row r="111" spans="1:14" x14ac:dyDescent="0.2">
      <c r="A111" s="2" t="s">
        <v>100</v>
      </c>
      <c r="B111" s="3">
        <v>13740</v>
      </c>
      <c r="C111" s="3">
        <v>14764</v>
      </c>
      <c r="D111" s="3">
        <v>15216</v>
      </c>
      <c r="E111" s="3">
        <v>14855</v>
      </c>
      <c r="F111" s="3">
        <v>15902</v>
      </c>
      <c r="G111" s="3">
        <v>14484</v>
      </c>
      <c r="H111" s="3">
        <f t="shared" ref="H111" si="67">+SUM(H112:H114)</f>
        <v>17179</v>
      </c>
      <c r="I111" s="3">
        <f>+SUM(I112:I114)</f>
        <v>18353</v>
      </c>
    </row>
    <row r="112" spans="1:14" x14ac:dyDescent="0.2">
      <c r="A112" s="11" t="s">
        <v>113</v>
      </c>
      <c r="B112">
        <v>8506</v>
      </c>
      <c r="C112">
        <v>9299</v>
      </c>
      <c r="D112">
        <v>9684</v>
      </c>
      <c r="E112">
        <v>9322</v>
      </c>
      <c r="F112">
        <v>10045</v>
      </c>
      <c r="G112">
        <v>9329</v>
      </c>
      <c r="H112" s="8">
        <v>11644</v>
      </c>
      <c r="I112" s="8">
        <v>12228</v>
      </c>
      <c r="L112" s="58">
        <f>Historicals!G87+Historicals!G89+Historicals!G90+Historicals!G92+Historicals!G88</f>
        <v>6177</v>
      </c>
    </row>
    <row r="113" spans="1:9" x14ac:dyDescent="0.2">
      <c r="A113" s="11" t="s">
        <v>114</v>
      </c>
      <c r="B113">
        <v>4410</v>
      </c>
      <c r="C113">
        <v>4746</v>
      </c>
      <c r="D113">
        <v>4886</v>
      </c>
      <c r="E113">
        <v>4938</v>
      </c>
      <c r="F113">
        <v>5260</v>
      </c>
      <c r="G113">
        <v>4639</v>
      </c>
      <c r="H113" s="8">
        <v>5028</v>
      </c>
      <c r="I113" s="8">
        <v>5492</v>
      </c>
    </row>
    <row r="114" spans="1:9" x14ac:dyDescent="0.2">
      <c r="A114" s="11" t="s">
        <v>115</v>
      </c>
      <c r="B114">
        <v>824</v>
      </c>
      <c r="C114">
        <v>719</v>
      </c>
      <c r="D114">
        <v>646</v>
      </c>
      <c r="E114">
        <v>595</v>
      </c>
      <c r="F114">
        <v>597</v>
      </c>
      <c r="G114">
        <v>516</v>
      </c>
      <c r="H114">
        <v>507</v>
      </c>
      <c r="I114">
        <v>633</v>
      </c>
    </row>
    <row r="115" spans="1:9" x14ac:dyDescent="0.2">
      <c r="A115" s="2" t="s">
        <v>101</v>
      </c>
      <c r="B115" s="3">
        <v>0</v>
      </c>
      <c r="C115" s="3">
        <v>0</v>
      </c>
      <c r="D115" s="3">
        <v>7970</v>
      </c>
      <c r="E115" s="3">
        <v>9242</v>
      </c>
      <c r="F115" s="3">
        <v>9812</v>
      </c>
      <c r="G115" s="3">
        <v>9347</v>
      </c>
      <c r="H115" s="3">
        <f t="shared" ref="H115" si="68">+SUM(H116:H118)</f>
        <v>11456</v>
      </c>
      <c r="I115" s="3">
        <f>+SUM(I116:I118)</f>
        <v>12479</v>
      </c>
    </row>
    <row r="116" spans="1:9" x14ac:dyDescent="0.2">
      <c r="A116" s="11" t="s">
        <v>113</v>
      </c>
      <c r="B116">
        <v>0</v>
      </c>
      <c r="C116">
        <v>0</v>
      </c>
      <c r="D116">
        <v>5192</v>
      </c>
      <c r="E116">
        <v>5875</v>
      </c>
      <c r="F116">
        <v>6293</v>
      </c>
      <c r="G116">
        <v>5892</v>
      </c>
      <c r="H116" s="8">
        <v>6970</v>
      </c>
      <c r="I116" s="8">
        <v>7388</v>
      </c>
    </row>
    <row r="117" spans="1:9" x14ac:dyDescent="0.2">
      <c r="A117" s="11" t="s">
        <v>114</v>
      </c>
      <c r="B117">
        <v>0</v>
      </c>
      <c r="C117">
        <v>0</v>
      </c>
      <c r="D117">
        <v>2395</v>
      </c>
      <c r="E117">
        <v>2940</v>
      </c>
      <c r="F117">
        <v>3087</v>
      </c>
      <c r="G117">
        <v>3053</v>
      </c>
      <c r="H117" s="8">
        <v>3996</v>
      </c>
      <c r="I117" s="8">
        <v>4527</v>
      </c>
    </row>
    <row r="118" spans="1:9" x14ac:dyDescent="0.2">
      <c r="A118" s="11" t="s">
        <v>115</v>
      </c>
      <c r="B118">
        <v>0</v>
      </c>
      <c r="C118">
        <v>0</v>
      </c>
      <c r="D118">
        <v>383</v>
      </c>
      <c r="E118">
        <v>427</v>
      </c>
      <c r="F118">
        <v>432</v>
      </c>
      <c r="G118">
        <v>402</v>
      </c>
      <c r="H118">
        <v>490</v>
      </c>
      <c r="I118">
        <v>564</v>
      </c>
    </row>
    <row r="119" spans="1:9" x14ac:dyDescent="0.2">
      <c r="A119" s="2" t="s">
        <v>102</v>
      </c>
      <c r="B119" s="3">
        <v>3067</v>
      </c>
      <c r="C119" s="3">
        <v>3785</v>
      </c>
      <c r="D119" s="3">
        <v>4237</v>
      </c>
      <c r="E119" s="3">
        <v>5134</v>
      </c>
      <c r="F119" s="3">
        <v>6208</v>
      </c>
      <c r="G119" s="3">
        <v>6679</v>
      </c>
      <c r="H119" s="3">
        <f t="shared" ref="H119" si="69">+SUM(H120:H122)</f>
        <v>8290</v>
      </c>
      <c r="I119" s="3">
        <f>+SUM(I120:I122)</f>
        <v>7547</v>
      </c>
    </row>
    <row r="120" spans="1:9" x14ac:dyDescent="0.2">
      <c r="A120" s="11" t="s">
        <v>113</v>
      </c>
      <c r="B120">
        <v>2016</v>
      </c>
      <c r="C120">
        <v>2599</v>
      </c>
      <c r="D120">
        <v>2920</v>
      </c>
      <c r="E120">
        <v>3496</v>
      </c>
      <c r="F120">
        <v>4262</v>
      </c>
      <c r="G120">
        <v>4635</v>
      </c>
      <c r="H120" s="8">
        <v>5748</v>
      </c>
      <c r="I120" s="8">
        <v>5416</v>
      </c>
    </row>
    <row r="121" spans="1:9" x14ac:dyDescent="0.2">
      <c r="A121" s="11" t="s">
        <v>114</v>
      </c>
      <c r="B121">
        <v>925</v>
      </c>
      <c r="C121">
        <v>1055</v>
      </c>
      <c r="D121">
        <v>1188</v>
      </c>
      <c r="E121">
        <v>1508</v>
      </c>
      <c r="F121">
        <v>1808</v>
      </c>
      <c r="G121">
        <v>1896</v>
      </c>
      <c r="H121" s="8">
        <v>2347</v>
      </c>
      <c r="I121" s="8">
        <v>1938</v>
      </c>
    </row>
    <row r="122" spans="1:9" x14ac:dyDescent="0.2">
      <c r="A122" s="11" t="s">
        <v>115</v>
      </c>
      <c r="B122">
        <v>126</v>
      </c>
      <c r="C122">
        <v>131</v>
      </c>
      <c r="D122">
        <v>129</v>
      </c>
      <c r="E122">
        <v>130</v>
      </c>
      <c r="F122">
        <v>138</v>
      </c>
      <c r="G122">
        <v>148</v>
      </c>
      <c r="H122">
        <v>195</v>
      </c>
      <c r="I122">
        <v>193</v>
      </c>
    </row>
    <row r="123" spans="1:9" x14ac:dyDescent="0.2">
      <c r="A123" s="2" t="s">
        <v>106</v>
      </c>
      <c r="B123" s="3">
        <v>0</v>
      </c>
      <c r="C123" s="3">
        <v>0</v>
      </c>
      <c r="D123" s="3">
        <v>4737</v>
      </c>
      <c r="E123" s="3">
        <v>5166</v>
      </c>
      <c r="F123" s="3">
        <v>5254</v>
      </c>
      <c r="G123" s="3">
        <v>5028</v>
      </c>
      <c r="H123" s="3">
        <f t="shared" ref="H123" si="70">+SUM(H124:H126)</f>
        <v>5343</v>
      </c>
      <c r="I123" s="3">
        <f>+SUM(I124:I126)</f>
        <v>5955</v>
      </c>
    </row>
    <row r="124" spans="1:9" x14ac:dyDescent="0.2">
      <c r="A124" s="11" t="s">
        <v>113</v>
      </c>
      <c r="D124">
        <v>3285</v>
      </c>
      <c r="E124">
        <v>3575</v>
      </c>
      <c r="F124">
        <v>3622</v>
      </c>
      <c r="G124">
        <v>3449</v>
      </c>
      <c r="H124" s="8">
        <v>3659</v>
      </c>
      <c r="I124" s="8">
        <v>4111</v>
      </c>
    </row>
    <row r="125" spans="1:9" x14ac:dyDescent="0.2">
      <c r="A125" s="11" t="s">
        <v>114</v>
      </c>
      <c r="D125">
        <v>1185</v>
      </c>
      <c r="E125">
        <v>1347</v>
      </c>
      <c r="F125">
        <v>1395</v>
      </c>
      <c r="G125">
        <v>1365</v>
      </c>
      <c r="H125" s="8">
        <v>1494</v>
      </c>
      <c r="I125" s="8">
        <v>1610</v>
      </c>
    </row>
    <row r="126" spans="1:9" x14ac:dyDescent="0.2">
      <c r="A126" s="11" t="s">
        <v>115</v>
      </c>
      <c r="D126">
        <v>267</v>
      </c>
      <c r="E126">
        <v>244</v>
      </c>
      <c r="F126">
        <v>237</v>
      </c>
      <c r="G126">
        <v>214</v>
      </c>
      <c r="H126">
        <v>190</v>
      </c>
      <c r="I126">
        <v>234</v>
      </c>
    </row>
    <row r="127" spans="1:9" x14ac:dyDescent="0.2">
      <c r="A127" s="2" t="s">
        <v>107</v>
      </c>
      <c r="B127" s="3">
        <v>115</v>
      </c>
      <c r="C127" s="3">
        <v>73</v>
      </c>
      <c r="D127" s="3">
        <v>73</v>
      </c>
      <c r="E127" s="3">
        <v>88</v>
      </c>
      <c r="F127" s="3">
        <v>42</v>
      </c>
      <c r="G127" s="3">
        <v>30</v>
      </c>
      <c r="H127" s="3">
        <v>25</v>
      </c>
      <c r="I127" s="3">
        <v>102</v>
      </c>
    </row>
    <row r="128" spans="1:9" x14ac:dyDescent="0.2">
      <c r="A128" s="4" t="s">
        <v>103</v>
      </c>
      <c r="B128" s="5">
        <f>+B111+B115+B119+B123+B127</f>
        <v>16922</v>
      </c>
      <c r="C128" s="5">
        <f>+C111+C115+C119+C123+C127</f>
        <v>18622</v>
      </c>
      <c r="D128" s="5">
        <f t="shared" ref="D128:G128" si="71">+D111+D115+D119+D123+D127</f>
        <v>32233</v>
      </c>
      <c r="E128" s="5">
        <f t="shared" si="71"/>
        <v>34485</v>
      </c>
      <c r="F128" s="5">
        <f t="shared" si="71"/>
        <v>37218</v>
      </c>
      <c r="G128" s="5">
        <f t="shared" si="71"/>
        <v>35568</v>
      </c>
      <c r="H128" s="5">
        <f t="shared" ref="H128:I128" si="72">+H111+H115+H119+H123+H127</f>
        <v>42293</v>
      </c>
      <c r="I128" s="5">
        <f t="shared" si="72"/>
        <v>44436</v>
      </c>
    </row>
    <row r="129" spans="1:9" x14ac:dyDescent="0.2">
      <c r="A129" s="2" t="s">
        <v>104</v>
      </c>
      <c r="B129" s="3">
        <v>1982</v>
      </c>
      <c r="C129" s="3">
        <v>1955</v>
      </c>
      <c r="D129" s="3">
        <v>2042</v>
      </c>
      <c r="E129" s="3">
        <v>1886</v>
      </c>
      <c r="F129" s="3">
        <v>1906</v>
      </c>
      <c r="G129" s="3">
        <v>1846</v>
      </c>
      <c r="H129" s="3">
        <f>+SUM(H130:H133)</f>
        <v>2205</v>
      </c>
      <c r="I129" s="3">
        <f>+SUM(I130:I133)</f>
        <v>2346</v>
      </c>
    </row>
    <row r="130" spans="1:9" x14ac:dyDescent="0.2">
      <c r="A130" s="11" t="s">
        <v>113</v>
      </c>
      <c r="B130" s="3"/>
      <c r="C130" s="3"/>
      <c r="D130" s="3"/>
      <c r="E130" s="3"/>
      <c r="F130" s="3"/>
      <c r="G130" s="3"/>
      <c r="H130" s="3">
        <v>1986</v>
      </c>
      <c r="I130" s="3">
        <v>2094</v>
      </c>
    </row>
    <row r="131" spans="1:9" x14ac:dyDescent="0.2">
      <c r="A131" s="11" t="s">
        <v>114</v>
      </c>
      <c r="B131" s="3"/>
      <c r="C131" s="3"/>
      <c r="D131" s="3"/>
      <c r="E131" s="3"/>
      <c r="F131" s="3"/>
      <c r="G131" s="3"/>
      <c r="H131" s="3">
        <v>104</v>
      </c>
      <c r="I131" s="3">
        <v>103</v>
      </c>
    </row>
    <row r="132" spans="1:9" x14ac:dyDescent="0.2">
      <c r="A132" s="11" t="s">
        <v>115</v>
      </c>
      <c r="B132" s="3"/>
      <c r="C132" s="3"/>
      <c r="D132" s="3"/>
      <c r="E132" s="3"/>
      <c r="F132" s="3"/>
      <c r="G132" s="3"/>
      <c r="H132" s="3">
        <v>29</v>
      </c>
      <c r="I132" s="3">
        <v>26</v>
      </c>
    </row>
    <row r="133" spans="1:9" x14ac:dyDescent="0.2">
      <c r="A133" s="11" t="s">
        <v>121</v>
      </c>
      <c r="B133" s="3"/>
      <c r="C133" s="3"/>
      <c r="D133" s="3"/>
      <c r="E133" s="3"/>
      <c r="F133" s="3"/>
      <c r="G133" s="3"/>
      <c r="H133" s="3">
        <v>86</v>
      </c>
      <c r="I133" s="3">
        <v>123</v>
      </c>
    </row>
    <row r="134" spans="1:9" x14ac:dyDescent="0.2">
      <c r="A134" s="2" t="s">
        <v>108</v>
      </c>
      <c r="B134" s="3">
        <f>-82+11779</f>
        <v>11697</v>
      </c>
      <c r="C134" s="3">
        <f>-86+11885</f>
        <v>11799</v>
      </c>
      <c r="D134" s="3">
        <v>75</v>
      </c>
      <c r="E134" s="3">
        <v>26</v>
      </c>
      <c r="F134" s="3">
        <v>-7</v>
      </c>
      <c r="G134" s="3">
        <v>-11</v>
      </c>
      <c r="H134" s="3">
        <v>40</v>
      </c>
      <c r="I134" s="3">
        <v>-72</v>
      </c>
    </row>
    <row r="135" spans="1:9" ht="16" thickBot="1" x14ac:dyDescent="0.25">
      <c r="A135" s="6" t="s">
        <v>105</v>
      </c>
      <c r="B135" s="7">
        <f>+B128+B129+B134</f>
        <v>30601</v>
      </c>
      <c r="C135" s="7">
        <f>+C128+C129+C134</f>
        <v>32376</v>
      </c>
      <c r="D135" s="7">
        <f t="shared" ref="D135:G135" si="73">+D128+D129+D134</f>
        <v>34350</v>
      </c>
      <c r="E135" s="7">
        <f t="shared" si="73"/>
        <v>36397</v>
      </c>
      <c r="F135" s="7">
        <f t="shared" si="73"/>
        <v>39117</v>
      </c>
      <c r="G135" s="7">
        <f t="shared" si="73"/>
        <v>37403</v>
      </c>
      <c r="H135" s="7">
        <f t="shared" ref="H135" si="74">+H128+H129+H134</f>
        <v>44538</v>
      </c>
      <c r="I135" s="7">
        <f>+I128+I129+I134</f>
        <v>46710</v>
      </c>
    </row>
    <row r="136" spans="1:9" s="12" customFormat="1" ht="16" thickTop="1" x14ac:dyDescent="0.2">
      <c r="A136" s="12" t="s">
        <v>111</v>
      </c>
      <c r="B136" s="13">
        <f t="shared" ref="B136:H136" si="75">+B135-B2</f>
        <v>0</v>
      </c>
      <c r="C136" s="13">
        <f t="shared" si="75"/>
        <v>0</v>
      </c>
      <c r="D136" s="13">
        <f t="shared" si="75"/>
        <v>0</v>
      </c>
      <c r="E136" s="13">
        <f t="shared" si="75"/>
        <v>0</v>
      </c>
      <c r="F136" s="13">
        <f t="shared" si="75"/>
        <v>0</v>
      </c>
      <c r="G136" s="13">
        <f t="shared" si="75"/>
        <v>0</v>
      </c>
      <c r="H136" s="13">
        <f t="shared" si="75"/>
        <v>0</v>
      </c>
    </row>
    <row r="137" spans="1:9" x14ac:dyDescent="0.2">
      <c r="A137" s="1" t="s">
        <v>110</v>
      </c>
    </row>
    <row r="138" spans="1:9" x14ac:dyDescent="0.2">
      <c r="A138" s="2" t="s">
        <v>100</v>
      </c>
      <c r="B138" s="3">
        <v>3645</v>
      </c>
      <c r="C138" s="3">
        <v>3763</v>
      </c>
      <c r="D138" s="3">
        <v>3875</v>
      </c>
      <c r="E138" s="3">
        <v>3600</v>
      </c>
      <c r="F138" s="3">
        <v>3925</v>
      </c>
      <c r="G138" s="3">
        <v>2899</v>
      </c>
      <c r="H138" s="3">
        <v>5089</v>
      </c>
      <c r="I138" s="3">
        <v>5114</v>
      </c>
    </row>
    <row r="139" spans="1:9" x14ac:dyDescent="0.2">
      <c r="A139" s="2" t="s">
        <v>101</v>
      </c>
      <c r="B139" s="3"/>
      <c r="C139" s="3"/>
      <c r="D139" s="3">
        <v>1507</v>
      </c>
      <c r="E139" s="3">
        <v>1587</v>
      </c>
      <c r="F139" s="3">
        <v>1995</v>
      </c>
      <c r="G139" s="3">
        <v>1541</v>
      </c>
      <c r="H139" s="3">
        <v>2435</v>
      </c>
      <c r="I139" s="3">
        <v>3293</v>
      </c>
    </row>
    <row r="140" spans="1:9" x14ac:dyDescent="0.2">
      <c r="A140" s="2" t="s">
        <v>102</v>
      </c>
      <c r="B140" s="3">
        <v>993</v>
      </c>
      <c r="C140" s="3">
        <v>1372</v>
      </c>
      <c r="D140" s="3">
        <v>1507</v>
      </c>
      <c r="E140" s="3">
        <v>1807</v>
      </c>
      <c r="F140" s="3">
        <v>2376</v>
      </c>
      <c r="G140" s="3">
        <v>2490</v>
      </c>
      <c r="H140" s="3">
        <v>3243</v>
      </c>
      <c r="I140" s="3">
        <v>2365</v>
      </c>
    </row>
    <row r="141" spans="1:9" x14ac:dyDescent="0.2">
      <c r="A141" s="2" t="s">
        <v>106</v>
      </c>
      <c r="B141" s="3"/>
      <c r="C141" s="3"/>
      <c r="D141" s="3">
        <v>980</v>
      </c>
      <c r="E141" s="3">
        <v>1189</v>
      </c>
      <c r="F141" s="3">
        <v>1323</v>
      </c>
      <c r="G141" s="3">
        <v>1184</v>
      </c>
      <c r="H141" s="3">
        <v>1530</v>
      </c>
      <c r="I141" s="3">
        <v>1896</v>
      </c>
    </row>
    <row r="142" spans="1:9" x14ac:dyDescent="0.2">
      <c r="A142" s="2" t="s">
        <v>107</v>
      </c>
      <c r="B142" s="3">
        <v>-2267</v>
      </c>
      <c r="C142" s="3">
        <v>-2596</v>
      </c>
      <c r="D142" s="3">
        <v>-2677</v>
      </c>
      <c r="E142" s="3">
        <v>-2658</v>
      </c>
      <c r="F142" s="3">
        <v>-3262</v>
      </c>
      <c r="G142" s="3">
        <v>-3468</v>
      </c>
      <c r="H142" s="3">
        <v>-3656</v>
      </c>
      <c r="I142" s="3">
        <v>-4262</v>
      </c>
    </row>
    <row r="143" spans="1:9" x14ac:dyDescent="0.2">
      <c r="A143" s="4" t="s">
        <v>103</v>
      </c>
      <c r="B143" s="5">
        <f>B138+B140+B142</f>
        <v>2371</v>
      </c>
      <c r="C143" s="5">
        <f t="shared" ref="C143:G143" si="76">C138+C140+C142</f>
        <v>2539</v>
      </c>
      <c r="D143" s="5">
        <f t="shared" si="76"/>
        <v>2705</v>
      </c>
      <c r="E143" s="5">
        <f t="shared" si="76"/>
        <v>2749</v>
      </c>
      <c r="F143" s="5">
        <f t="shared" si="76"/>
        <v>3039</v>
      </c>
      <c r="G143" s="5">
        <f t="shared" si="76"/>
        <v>1921</v>
      </c>
      <c r="H143" s="5">
        <f t="shared" ref="H143:I143" si="77">+SUM(H138:H142)</f>
        <v>8641</v>
      </c>
      <c r="I143" s="5">
        <f t="shared" si="77"/>
        <v>8406</v>
      </c>
    </row>
    <row r="144" spans="1:9" x14ac:dyDescent="0.2">
      <c r="A144" s="2" t="s">
        <v>104</v>
      </c>
      <c r="B144" s="3">
        <v>517</v>
      </c>
      <c r="C144" s="3">
        <v>487</v>
      </c>
      <c r="D144" s="3">
        <v>477</v>
      </c>
      <c r="E144" s="3">
        <v>310</v>
      </c>
      <c r="F144" s="3">
        <v>303</v>
      </c>
      <c r="G144" s="3">
        <v>297</v>
      </c>
      <c r="H144" s="3">
        <v>543</v>
      </c>
      <c r="I144" s="3">
        <v>669</v>
      </c>
    </row>
    <row r="145" spans="1:9" x14ac:dyDescent="0.2">
      <c r="A145" s="2" t="s">
        <v>108</v>
      </c>
      <c r="B145" s="3">
        <f>-1097+2442</f>
        <v>1345</v>
      </c>
      <c r="C145" s="3">
        <f>-1173+2789</f>
        <v>1616</v>
      </c>
      <c r="D145" s="3">
        <v>-724</v>
      </c>
      <c r="E145" s="3">
        <v>-1456</v>
      </c>
      <c r="F145" s="3">
        <v>-1810</v>
      </c>
      <c r="G145" s="3">
        <v>-1967</v>
      </c>
      <c r="H145" s="3">
        <v>-2261</v>
      </c>
      <c r="I145" s="3">
        <v>-2219</v>
      </c>
    </row>
    <row r="146" spans="1:9" ht="16" thickBot="1" x14ac:dyDescent="0.25">
      <c r="A146" s="6" t="s">
        <v>112</v>
      </c>
      <c r="B146" s="7">
        <f>B138+B140+B142+B144+B145+B139+B141</f>
        <v>4233</v>
      </c>
      <c r="C146" s="7">
        <f t="shared" ref="C146:G146" si="78">C138+C140+C142+C144+C145+C139+C141</f>
        <v>4642</v>
      </c>
      <c r="D146" s="7">
        <f t="shared" si="78"/>
        <v>4945</v>
      </c>
      <c r="E146" s="7">
        <f t="shared" si="78"/>
        <v>4379</v>
      </c>
      <c r="F146" s="7">
        <f t="shared" si="78"/>
        <v>4850</v>
      </c>
      <c r="G146" s="7">
        <f t="shared" si="78"/>
        <v>2976</v>
      </c>
      <c r="H146" s="7">
        <f t="shared" ref="H146" si="79">+SUM(H143:H145)</f>
        <v>6923</v>
      </c>
      <c r="I146" s="7">
        <f>+SUM(I143:I145)</f>
        <v>6856</v>
      </c>
    </row>
    <row r="147" spans="1:9" s="12" customFormat="1" ht="16" thickTop="1" x14ac:dyDescent="0.2">
      <c r="A147" s="12" t="s">
        <v>111</v>
      </c>
      <c r="B147" s="13">
        <f t="shared" ref="B147:G147" si="80">+B146-B10-B8</f>
        <v>0</v>
      </c>
      <c r="C147" s="13">
        <f t="shared" si="80"/>
        <v>0</v>
      </c>
      <c r="D147" s="13">
        <f t="shared" si="80"/>
        <v>0</v>
      </c>
      <c r="E147" s="13">
        <f t="shared" si="80"/>
        <v>0</v>
      </c>
      <c r="F147" s="13">
        <f t="shared" si="80"/>
        <v>0</v>
      </c>
      <c r="G147" s="13">
        <f t="shared" si="80"/>
        <v>0</v>
      </c>
      <c r="H147" s="13">
        <f t="shared" ref="H147" si="81">+H146-H10-H8</f>
        <v>0</v>
      </c>
      <c r="I147" s="13">
        <f>+I146-I10-I8</f>
        <v>0</v>
      </c>
    </row>
    <row r="148" spans="1:9" x14ac:dyDescent="0.2">
      <c r="A148" s="1" t="s">
        <v>117</v>
      </c>
    </row>
    <row r="149" spans="1:9" x14ac:dyDescent="0.2">
      <c r="A149" s="2" t="s">
        <v>100</v>
      </c>
      <c r="B149" s="3">
        <v>632</v>
      </c>
      <c r="C149" s="3">
        <v>742</v>
      </c>
      <c r="D149" s="3">
        <v>819</v>
      </c>
      <c r="E149" s="3">
        <v>848</v>
      </c>
      <c r="F149" s="3">
        <v>814</v>
      </c>
      <c r="G149" s="3">
        <v>645</v>
      </c>
      <c r="H149" s="3">
        <v>617</v>
      </c>
      <c r="I149" s="3">
        <v>639</v>
      </c>
    </row>
    <row r="150" spans="1:9" x14ac:dyDescent="0.2">
      <c r="A150" s="2" t="s">
        <v>101</v>
      </c>
      <c r="B150" s="3">
        <v>0</v>
      </c>
      <c r="C150" s="3">
        <v>0</v>
      </c>
      <c r="D150" s="3">
        <v>709</v>
      </c>
      <c r="E150" s="3">
        <v>849</v>
      </c>
      <c r="F150" s="3">
        <v>929</v>
      </c>
      <c r="G150" s="3">
        <v>885</v>
      </c>
      <c r="H150" s="3">
        <v>982</v>
      </c>
      <c r="I150" s="3">
        <v>920</v>
      </c>
    </row>
    <row r="151" spans="1:9" x14ac:dyDescent="0.2">
      <c r="A151" s="2" t="s">
        <v>102</v>
      </c>
      <c r="B151" s="3">
        <v>254</v>
      </c>
      <c r="C151" s="3">
        <v>234</v>
      </c>
      <c r="D151" s="3">
        <v>225</v>
      </c>
      <c r="E151" s="3">
        <v>256</v>
      </c>
      <c r="F151" s="3">
        <v>237</v>
      </c>
      <c r="G151" s="3">
        <v>214</v>
      </c>
      <c r="H151" s="3">
        <v>288</v>
      </c>
      <c r="I151" s="3">
        <v>303</v>
      </c>
    </row>
    <row r="152" spans="1:9" x14ac:dyDescent="0.2">
      <c r="A152" s="2" t="s">
        <v>118</v>
      </c>
      <c r="B152" s="3">
        <v>0</v>
      </c>
      <c r="C152" s="3">
        <v>0</v>
      </c>
      <c r="D152" s="3">
        <v>340</v>
      </c>
      <c r="E152" s="3">
        <v>339</v>
      </c>
      <c r="F152" s="3">
        <v>326</v>
      </c>
      <c r="G152" s="3">
        <v>296</v>
      </c>
      <c r="H152" s="3">
        <v>304</v>
      </c>
      <c r="I152" s="3">
        <v>274</v>
      </c>
    </row>
    <row r="153" spans="1:9" x14ac:dyDescent="0.2">
      <c r="A153" s="2" t="s">
        <v>107</v>
      </c>
      <c r="B153" s="3">
        <v>484</v>
      </c>
      <c r="C153" s="3">
        <v>511</v>
      </c>
      <c r="D153" s="3">
        <v>533</v>
      </c>
      <c r="E153" s="3">
        <v>597</v>
      </c>
      <c r="F153" s="3">
        <v>665</v>
      </c>
      <c r="G153" s="3">
        <v>830</v>
      </c>
      <c r="H153" s="3">
        <v>780</v>
      </c>
      <c r="I153" s="3">
        <v>789</v>
      </c>
    </row>
    <row r="154" spans="1:9" x14ac:dyDescent="0.2">
      <c r="A154" s="4" t="s">
        <v>119</v>
      </c>
      <c r="B154" s="5">
        <f t="shared" ref="B154:G154" si="82">+SUM(B149:B153)</f>
        <v>1370</v>
      </c>
      <c r="C154" s="5">
        <f t="shared" si="82"/>
        <v>1487</v>
      </c>
      <c r="D154" s="5">
        <f t="shared" si="82"/>
        <v>2626</v>
      </c>
      <c r="E154" s="5">
        <f t="shared" si="82"/>
        <v>2889</v>
      </c>
      <c r="F154" s="5">
        <f t="shared" si="82"/>
        <v>2971</v>
      </c>
      <c r="G154" s="5">
        <f t="shared" si="82"/>
        <v>2870</v>
      </c>
      <c r="H154" s="5">
        <f t="shared" ref="H154:I154" si="83">+SUM(H149:H153)</f>
        <v>2971</v>
      </c>
      <c r="I154" s="5">
        <f t="shared" si="83"/>
        <v>2925</v>
      </c>
    </row>
    <row r="155" spans="1:9" x14ac:dyDescent="0.2">
      <c r="A155" s="2" t="s">
        <v>104</v>
      </c>
      <c r="B155" s="3">
        <v>122</v>
      </c>
      <c r="C155" s="3">
        <v>125</v>
      </c>
      <c r="D155" s="3">
        <v>125</v>
      </c>
      <c r="E155" s="3">
        <v>115</v>
      </c>
      <c r="F155" s="3">
        <v>100</v>
      </c>
      <c r="G155" s="3">
        <v>80</v>
      </c>
      <c r="H155" s="3">
        <v>63</v>
      </c>
      <c r="I155" s="3">
        <v>49</v>
      </c>
    </row>
    <row r="156" spans="1:9" x14ac:dyDescent="0.2">
      <c r="A156" s="2" t="s">
        <v>108</v>
      </c>
      <c r="B156" s="3">
        <v>1519</v>
      </c>
      <c r="C156" s="3">
        <v>1908</v>
      </c>
      <c r="D156" s="3">
        <v>1238</v>
      </c>
      <c r="E156" s="3">
        <v>1450</v>
      </c>
      <c r="F156" s="3">
        <v>1673</v>
      </c>
      <c r="G156" s="3">
        <v>1916</v>
      </c>
      <c r="H156" s="3">
        <v>1870</v>
      </c>
      <c r="I156" s="3">
        <v>1817</v>
      </c>
    </row>
    <row r="157" spans="1:9" ht="16" thickBot="1" x14ac:dyDescent="0.25">
      <c r="A157" s="6" t="s">
        <v>120</v>
      </c>
      <c r="B157" s="7">
        <f t="shared" ref="B157:G157" si="84">+SUM(B154:B156)</f>
        <v>3011</v>
      </c>
      <c r="C157" s="7">
        <f t="shared" si="84"/>
        <v>3520</v>
      </c>
      <c r="D157" s="7">
        <f t="shared" si="84"/>
        <v>3989</v>
      </c>
      <c r="E157" s="7">
        <f t="shared" si="84"/>
        <v>4454</v>
      </c>
      <c r="F157" s="7">
        <f t="shared" si="84"/>
        <v>4744</v>
      </c>
      <c r="G157" s="7">
        <f t="shared" si="84"/>
        <v>4866</v>
      </c>
      <c r="H157" s="7">
        <f t="shared" ref="H157" si="85">+SUM(H154:H156)</f>
        <v>4904</v>
      </c>
      <c r="I157" s="7">
        <f>+SUM(I154:I156)</f>
        <v>4791</v>
      </c>
    </row>
    <row r="158" spans="1:9" ht="16" thickTop="1" x14ac:dyDescent="0.2">
      <c r="A158" s="12" t="s">
        <v>111</v>
      </c>
      <c r="B158" s="13">
        <f t="shared" ref="B158:G158" si="86">+B157-B31</f>
        <v>0</v>
      </c>
      <c r="C158" s="13">
        <f t="shared" si="86"/>
        <v>0</v>
      </c>
      <c r="D158" s="13">
        <f t="shared" si="86"/>
        <v>0</v>
      </c>
      <c r="E158" s="13">
        <f t="shared" si="86"/>
        <v>0</v>
      </c>
      <c r="F158" s="13">
        <f t="shared" si="86"/>
        <v>0</v>
      </c>
      <c r="G158" s="13">
        <f t="shared" si="86"/>
        <v>0</v>
      </c>
      <c r="H158" s="13">
        <f t="shared" ref="H158" si="87">+H157-H31</f>
        <v>0</v>
      </c>
      <c r="I158" s="13">
        <f>+I157-I31</f>
        <v>0</v>
      </c>
    </row>
    <row r="159" spans="1:9" x14ac:dyDescent="0.2">
      <c r="A159" s="1" t="s">
        <v>122</v>
      </c>
    </row>
    <row r="160" spans="1:9" x14ac:dyDescent="0.2">
      <c r="A160" s="2" t="s">
        <v>100</v>
      </c>
      <c r="B160" s="3">
        <v>294</v>
      </c>
      <c r="C160" s="3">
        <v>242</v>
      </c>
      <c r="D160" s="3">
        <v>223</v>
      </c>
      <c r="E160" s="3">
        <v>196</v>
      </c>
      <c r="F160" s="3">
        <v>117</v>
      </c>
      <c r="G160" s="3">
        <v>110</v>
      </c>
      <c r="H160" s="3">
        <v>98</v>
      </c>
      <c r="I160" s="3">
        <v>146</v>
      </c>
    </row>
    <row r="161" spans="1:9" x14ac:dyDescent="0.2">
      <c r="A161" s="2" t="s">
        <v>101</v>
      </c>
      <c r="B161" s="3">
        <v>0</v>
      </c>
      <c r="C161" s="3">
        <v>234</v>
      </c>
      <c r="D161" s="3">
        <v>173</v>
      </c>
      <c r="E161" s="3">
        <v>240</v>
      </c>
      <c r="F161" s="3">
        <v>233</v>
      </c>
      <c r="G161" s="3">
        <v>139</v>
      </c>
      <c r="H161" s="3">
        <v>153</v>
      </c>
      <c r="I161" s="3">
        <v>197</v>
      </c>
    </row>
    <row r="162" spans="1:9" x14ac:dyDescent="0.2">
      <c r="A162" s="2" t="s">
        <v>102</v>
      </c>
      <c r="B162" s="3">
        <v>69</v>
      </c>
      <c r="C162" s="3">
        <v>44</v>
      </c>
      <c r="D162" s="3">
        <v>51</v>
      </c>
      <c r="E162" s="3">
        <v>76</v>
      </c>
      <c r="F162" s="3">
        <v>49</v>
      </c>
      <c r="G162" s="3">
        <v>28</v>
      </c>
      <c r="H162" s="3">
        <v>94</v>
      </c>
      <c r="I162" s="3">
        <v>78</v>
      </c>
    </row>
    <row r="163" spans="1:9" x14ac:dyDescent="0.2">
      <c r="A163" s="2" t="s">
        <v>118</v>
      </c>
      <c r="B163" s="3">
        <v>0</v>
      </c>
      <c r="C163" s="3">
        <v>62</v>
      </c>
      <c r="D163" s="3">
        <v>59</v>
      </c>
      <c r="E163" s="3">
        <v>49</v>
      </c>
      <c r="F163" s="3">
        <v>47</v>
      </c>
      <c r="G163" s="3">
        <v>41</v>
      </c>
      <c r="H163" s="3">
        <v>54</v>
      </c>
      <c r="I163" s="3">
        <v>56</v>
      </c>
    </row>
    <row r="164" spans="1:9" x14ac:dyDescent="0.2">
      <c r="A164" s="2" t="s">
        <v>107</v>
      </c>
      <c r="B164" s="3">
        <v>225</v>
      </c>
      <c r="C164" s="3">
        <v>258</v>
      </c>
      <c r="D164" s="3">
        <v>278</v>
      </c>
      <c r="E164" s="3">
        <v>286</v>
      </c>
      <c r="F164" s="3">
        <v>278</v>
      </c>
      <c r="G164" s="3">
        <v>438</v>
      </c>
      <c r="H164" s="3">
        <v>278</v>
      </c>
      <c r="I164" s="3">
        <v>222</v>
      </c>
    </row>
    <row r="165" spans="1:9" x14ac:dyDescent="0.2">
      <c r="A165" s="4" t="s">
        <v>119</v>
      </c>
      <c r="B165" s="5">
        <f>B160+B162+B164</f>
        <v>588</v>
      </c>
      <c r="C165" s="5">
        <f t="shared" ref="C165:G165" si="88">+SUM(C160:C164)</f>
        <v>840</v>
      </c>
      <c r="D165" s="5">
        <f t="shared" si="88"/>
        <v>784</v>
      </c>
      <c r="E165" s="5">
        <f t="shared" si="88"/>
        <v>847</v>
      </c>
      <c r="F165" s="5">
        <f t="shared" si="88"/>
        <v>724</v>
      </c>
      <c r="G165" s="5">
        <f t="shared" si="88"/>
        <v>756</v>
      </c>
      <c r="H165" s="5">
        <f t="shared" ref="H165:I165" si="89">+SUM(H160:H164)</f>
        <v>677</v>
      </c>
      <c r="I165" s="5">
        <f t="shared" si="89"/>
        <v>699</v>
      </c>
    </row>
    <row r="166" spans="1:9" x14ac:dyDescent="0.2">
      <c r="A166" s="2" t="s">
        <v>104</v>
      </c>
      <c r="B166" s="3">
        <v>69</v>
      </c>
      <c r="C166" s="3">
        <v>39</v>
      </c>
      <c r="D166" s="3">
        <v>30</v>
      </c>
      <c r="E166" s="3">
        <v>22</v>
      </c>
      <c r="F166" s="3">
        <v>18</v>
      </c>
      <c r="G166" s="3">
        <v>12</v>
      </c>
      <c r="H166" s="3">
        <v>7</v>
      </c>
      <c r="I166" s="3">
        <v>9</v>
      </c>
    </row>
    <row r="167" spans="1:9" x14ac:dyDescent="0.2">
      <c r="A167" s="2" t="s">
        <v>108</v>
      </c>
      <c r="B167" s="3">
        <v>306</v>
      </c>
      <c r="C167" s="3">
        <v>264</v>
      </c>
      <c r="D167" s="3">
        <v>291</v>
      </c>
      <c r="E167" s="3">
        <v>159</v>
      </c>
      <c r="F167" s="3">
        <v>377</v>
      </c>
      <c r="G167" s="3">
        <v>318</v>
      </c>
      <c r="H167" s="3">
        <f t="shared" ref="H167" si="90">-(SUM(H165:H166)+H82)</f>
        <v>11</v>
      </c>
      <c r="I167" s="3">
        <f>-(SUM(I165:I166)+I82)</f>
        <v>50</v>
      </c>
    </row>
    <row r="168" spans="1:9" ht="16" thickBot="1" x14ac:dyDescent="0.25">
      <c r="A168" s="6" t="s">
        <v>123</v>
      </c>
      <c r="B168" s="7">
        <f>+SUM(B165:B167)</f>
        <v>963</v>
      </c>
      <c r="C168" s="7">
        <f>+SUM(C165:C167)</f>
        <v>1143</v>
      </c>
      <c r="D168" s="7">
        <f t="shared" ref="D168:G168" si="91">+SUM(D165:D167)</f>
        <v>1105</v>
      </c>
      <c r="E168" s="7">
        <f t="shared" si="91"/>
        <v>1028</v>
      </c>
      <c r="F168" s="7">
        <f t="shared" si="91"/>
        <v>1119</v>
      </c>
      <c r="G168" s="7">
        <f t="shared" si="91"/>
        <v>1086</v>
      </c>
      <c r="H168" s="7">
        <f t="shared" ref="H168" si="92">+SUM(H165:H167)</f>
        <v>695</v>
      </c>
      <c r="I168" s="7">
        <f>+SUM(I165:I167)</f>
        <v>758</v>
      </c>
    </row>
    <row r="169" spans="1:9" ht="16" thickTop="1" x14ac:dyDescent="0.2">
      <c r="A169" s="12" t="s">
        <v>111</v>
      </c>
      <c r="B169" s="13">
        <f t="shared" ref="B169:G169" si="93">+B168+B82</f>
        <v>0</v>
      </c>
      <c r="C169" s="13">
        <f t="shared" si="93"/>
        <v>0</v>
      </c>
      <c r="D169" s="13">
        <f t="shared" si="93"/>
        <v>0</v>
      </c>
      <c r="E169" s="13">
        <f t="shared" si="93"/>
        <v>0</v>
      </c>
      <c r="F169" s="13">
        <f t="shared" si="93"/>
        <v>0</v>
      </c>
      <c r="G169" s="13">
        <f t="shared" si="93"/>
        <v>0</v>
      </c>
      <c r="H169" s="13">
        <f t="shared" ref="H169" si="94">+H168+H82</f>
        <v>0</v>
      </c>
      <c r="I169" s="13">
        <f>+I168+I82</f>
        <v>0</v>
      </c>
    </row>
    <row r="170" spans="1:9" x14ac:dyDescent="0.2">
      <c r="A170" s="1" t="s">
        <v>124</v>
      </c>
    </row>
    <row r="171" spans="1:9" x14ac:dyDescent="0.2">
      <c r="A171" s="2" t="s">
        <v>100</v>
      </c>
      <c r="B171" s="3">
        <v>121</v>
      </c>
      <c r="C171" s="3">
        <v>133</v>
      </c>
      <c r="D171" s="3">
        <v>140</v>
      </c>
      <c r="E171" s="3">
        <v>160</v>
      </c>
      <c r="F171" s="3">
        <v>149</v>
      </c>
      <c r="G171" s="3">
        <v>148</v>
      </c>
      <c r="H171" s="3">
        <v>130</v>
      </c>
      <c r="I171" s="3">
        <v>124</v>
      </c>
    </row>
    <row r="172" spans="1:9" x14ac:dyDescent="0.2">
      <c r="A172" s="2" t="s">
        <v>101</v>
      </c>
      <c r="B172" s="3">
        <v>0</v>
      </c>
      <c r="C172" s="3">
        <v>85</v>
      </c>
      <c r="D172" s="3">
        <v>106</v>
      </c>
      <c r="E172" s="3">
        <v>116</v>
      </c>
      <c r="F172" s="3">
        <v>111</v>
      </c>
      <c r="G172" s="3">
        <v>132</v>
      </c>
      <c r="H172" s="3">
        <v>136</v>
      </c>
      <c r="I172" s="3">
        <v>134</v>
      </c>
    </row>
    <row r="173" spans="1:9" x14ac:dyDescent="0.2">
      <c r="A173" s="2" t="s">
        <v>102</v>
      </c>
      <c r="B173" s="3">
        <v>46</v>
      </c>
      <c r="C173" s="3">
        <v>48</v>
      </c>
      <c r="D173" s="3">
        <v>54</v>
      </c>
      <c r="E173" s="3">
        <v>56</v>
      </c>
      <c r="F173" s="3">
        <v>50</v>
      </c>
      <c r="G173" s="3">
        <v>44</v>
      </c>
      <c r="H173" s="3">
        <v>46</v>
      </c>
      <c r="I173" s="3">
        <v>41</v>
      </c>
    </row>
    <row r="174" spans="1:9" x14ac:dyDescent="0.2">
      <c r="A174" s="2" t="s">
        <v>106</v>
      </c>
      <c r="B174" s="3">
        <v>0</v>
      </c>
      <c r="C174" s="3">
        <v>42</v>
      </c>
      <c r="D174" s="3">
        <v>54</v>
      </c>
      <c r="E174" s="3">
        <v>55</v>
      </c>
      <c r="F174" s="3">
        <v>53</v>
      </c>
      <c r="G174" s="3">
        <v>46</v>
      </c>
      <c r="H174" s="3">
        <v>43</v>
      </c>
      <c r="I174" s="3">
        <v>42</v>
      </c>
    </row>
    <row r="175" spans="1:9" x14ac:dyDescent="0.2">
      <c r="A175" s="2" t="s">
        <v>107</v>
      </c>
      <c r="B175" s="3">
        <v>210</v>
      </c>
      <c r="C175" s="3">
        <v>230</v>
      </c>
      <c r="D175" s="3">
        <v>233</v>
      </c>
      <c r="E175" s="3">
        <v>217</v>
      </c>
      <c r="F175" s="3">
        <v>195</v>
      </c>
      <c r="G175" s="3">
        <v>214</v>
      </c>
      <c r="H175" s="3">
        <v>222</v>
      </c>
      <c r="I175" s="3">
        <v>220</v>
      </c>
    </row>
    <row r="176" spans="1:9" x14ac:dyDescent="0.2">
      <c r="A176" s="4" t="s">
        <v>119</v>
      </c>
      <c r="B176" s="5">
        <f>+SUM(B171:B175)</f>
        <v>377</v>
      </c>
      <c r="C176" s="5">
        <f t="shared" ref="C176:G176" si="95">+SUM(C171:C175)</f>
        <v>538</v>
      </c>
      <c r="D176" s="5">
        <f t="shared" si="95"/>
        <v>587</v>
      </c>
      <c r="E176" s="5">
        <f t="shared" si="95"/>
        <v>604</v>
      </c>
      <c r="F176" s="5">
        <f t="shared" si="95"/>
        <v>558</v>
      </c>
      <c r="G176" s="5">
        <f t="shared" si="95"/>
        <v>584</v>
      </c>
      <c r="H176" s="5">
        <f t="shared" ref="H176:I176" si="96">+SUM(H171:H175)</f>
        <v>577</v>
      </c>
      <c r="I176" s="5">
        <f t="shared" si="96"/>
        <v>561</v>
      </c>
    </row>
    <row r="177" spans="1:9" x14ac:dyDescent="0.2">
      <c r="A177" s="2" t="s">
        <v>104</v>
      </c>
      <c r="B177" s="3">
        <v>18</v>
      </c>
      <c r="C177" s="3">
        <v>27</v>
      </c>
      <c r="D177" s="3">
        <v>28</v>
      </c>
      <c r="E177" s="3">
        <v>33</v>
      </c>
      <c r="F177" s="3">
        <v>31</v>
      </c>
      <c r="G177" s="3">
        <v>25</v>
      </c>
      <c r="H177" s="3">
        <v>26</v>
      </c>
      <c r="I177" s="3">
        <v>22</v>
      </c>
    </row>
    <row r="178" spans="1:9" x14ac:dyDescent="0.2">
      <c r="A178" s="2" t="s">
        <v>108</v>
      </c>
      <c r="B178" s="3">
        <f>75+136</f>
        <v>211</v>
      </c>
      <c r="C178" s="3">
        <v>84</v>
      </c>
      <c r="D178" s="3">
        <v>91</v>
      </c>
      <c r="E178" s="3">
        <v>110</v>
      </c>
      <c r="F178" s="3">
        <v>116</v>
      </c>
      <c r="G178" s="3">
        <v>112</v>
      </c>
      <c r="H178" s="3">
        <v>141</v>
      </c>
      <c r="I178" s="3">
        <v>134</v>
      </c>
    </row>
    <row r="179" spans="1:9" ht="16" thickBot="1" x14ac:dyDescent="0.25">
      <c r="A179" s="6" t="s">
        <v>125</v>
      </c>
      <c r="B179" s="7">
        <f t="shared" ref="B179:G179" si="97">+SUM(B176:B178)</f>
        <v>606</v>
      </c>
      <c r="C179" s="7">
        <f t="shared" si="97"/>
        <v>649</v>
      </c>
      <c r="D179" s="7">
        <f t="shared" si="97"/>
        <v>706</v>
      </c>
      <c r="E179" s="7">
        <f t="shared" si="97"/>
        <v>747</v>
      </c>
      <c r="F179" s="7">
        <f t="shared" si="97"/>
        <v>705</v>
      </c>
      <c r="G179" s="7">
        <f t="shared" si="97"/>
        <v>721</v>
      </c>
      <c r="H179" s="7">
        <f t="shared" ref="H179" si="98">+SUM(H176:H178)</f>
        <v>744</v>
      </c>
      <c r="I179" s="7">
        <f>+SUM(I176:I178)</f>
        <v>717</v>
      </c>
    </row>
    <row r="180" spans="1:9" ht="16" thickTop="1" x14ac:dyDescent="0.2">
      <c r="A180" s="12" t="s">
        <v>111</v>
      </c>
      <c r="B180" s="13">
        <f t="shared" ref="B180:G180" si="99">+B179-B66</f>
        <v>0</v>
      </c>
      <c r="C180" s="13">
        <f t="shared" si="99"/>
        <v>0</v>
      </c>
      <c r="D180" s="13">
        <f t="shared" si="99"/>
        <v>0</v>
      </c>
      <c r="E180" s="13">
        <f t="shared" si="99"/>
        <v>0</v>
      </c>
      <c r="F180" s="13">
        <f t="shared" si="99"/>
        <v>0</v>
      </c>
      <c r="G180" s="13">
        <f t="shared" si="99"/>
        <v>0</v>
      </c>
      <c r="H180" s="13">
        <f t="shared" ref="H180" si="100">+H179-H66</f>
        <v>0</v>
      </c>
      <c r="I180" s="13">
        <f>+I179-I66</f>
        <v>0</v>
      </c>
    </row>
    <row r="181" spans="1:9" x14ac:dyDescent="0.2">
      <c r="A181" s="14" t="s">
        <v>126</v>
      </c>
      <c r="B181" s="14"/>
      <c r="C181" s="14"/>
      <c r="D181" s="14"/>
      <c r="E181" s="14"/>
      <c r="F181" s="14"/>
      <c r="G181" s="14"/>
      <c r="H181" s="14"/>
      <c r="I181" s="14"/>
    </row>
    <row r="182" spans="1:9" x14ac:dyDescent="0.2">
      <c r="A182" s="28" t="s">
        <v>127</v>
      </c>
    </row>
    <row r="183" spans="1:9" x14ac:dyDescent="0.2">
      <c r="A183" s="33" t="s">
        <v>100</v>
      </c>
      <c r="B183" s="34">
        <v>0.12</v>
      </c>
      <c r="C183" s="34">
        <v>0.08</v>
      </c>
      <c r="D183" s="34">
        <v>0.03</v>
      </c>
      <c r="E183" s="34">
        <v>-0.02</v>
      </c>
      <c r="F183" s="34">
        <v>7.0000000000000007E-2</v>
      </c>
      <c r="G183" s="34">
        <v>0.09</v>
      </c>
      <c r="H183" s="34"/>
      <c r="I183" s="34">
        <v>7.0000000000000007E-2</v>
      </c>
    </row>
    <row r="184" spans="1:9" x14ac:dyDescent="0.2">
      <c r="A184" s="31" t="s">
        <v>113</v>
      </c>
      <c r="B184" s="30">
        <v>0.14000000000000001</v>
      </c>
      <c r="C184" s="30">
        <v>0.1</v>
      </c>
      <c r="D184" s="30">
        <v>0.04</v>
      </c>
      <c r="E184" s="30">
        <v>-0.04</v>
      </c>
      <c r="F184" s="30">
        <v>0.08</v>
      </c>
      <c r="G184" s="30">
        <v>-7.0000000000000007E-2</v>
      </c>
      <c r="H184" s="30"/>
      <c r="I184" s="30">
        <v>0.05</v>
      </c>
    </row>
    <row r="185" spans="1:9" x14ac:dyDescent="0.2">
      <c r="A185" s="31" t="s">
        <v>114</v>
      </c>
      <c r="B185" s="30">
        <v>0.12</v>
      </c>
      <c r="C185" s="30">
        <v>0.08</v>
      </c>
      <c r="D185" s="30">
        <v>0.03</v>
      </c>
      <c r="E185" s="30">
        <v>0.01</v>
      </c>
      <c r="F185" s="30">
        <v>7.0000000000000007E-2</v>
      </c>
      <c r="G185" s="30">
        <v>-0.12</v>
      </c>
      <c r="H185" s="30"/>
      <c r="I185" s="30">
        <v>0.09</v>
      </c>
    </row>
    <row r="186" spans="1:9" x14ac:dyDescent="0.2">
      <c r="A186" s="31" t="s">
        <v>115</v>
      </c>
      <c r="B186" s="30">
        <v>-0.05</v>
      </c>
      <c r="C186" s="30">
        <v>-0.13</v>
      </c>
      <c r="D186" s="30">
        <v>-0.1</v>
      </c>
      <c r="E186" s="30">
        <v>-0.08</v>
      </c>
      <c r="F186" s="30">
        <v>0</v>
      </c>
      <c r="G186" s="30">
        <v>0.14000000000000001</v>
      </c>
      <c r="H186" s="30"/>
      <c r="I186" s="30">
        <v>0.25</v>
      </c>
    </row>
    <row r="187" spans="1:9" x14ac:dyDescent="0.2">
      <c r="A187" s="33" t="s">
        <v>101</v>
      </c>
      <c r="B187" s="34"/>
      <c r="C187" s="34"/>
      <c r="D187" s="34"/>
      <c r="E187" s="34">
        <v>0.09</v>
      </c>
      <c r="F187" s="34">
        <v>0.11</v>
      </c>
      <c r="G187" s="34">
        <v>0.01</v>
      </c>
      <c r="H187" s="34"/>
      <c r="I187" s="34">
        <v>0.12</v>
      </c>
    </row>
    <row r="188" spans="1:9" x14ac:dyDescent="0.2">
      <c r="A188" s="31" t="s">
        <v>113</v>
      </c>
      <c r="B188" s="30"/>
      <c r="C188" s="30"/>
      <c r="D188" s="30"/>
      <c r="E188" s="30">
        <v>0.06</v>
      </c>
      <c r="F188" s="30">
        <v>0.12</v>
      </c>
      <c r="G188" s="30">
        <v>0.03</v>
      </c>
      <c r="H188" s="30"/>
      <c r="I188" s="30">
        <v>0.09</v>
      </c>
    </row>
    <row r="189" spans="1:9" x14ac:dyDescent="0.2">
      <c r="A189" s="31" t="s">
        <v>114</v>
      </c>
      <c r="B189" s="30"/>
      <c r="C189" s="30"/>
      <c r="D189" s="30"/>
      <c r="E189" s="30">
        <v>0.16</v>
      </c>
      <c r="F189" s="30">
        <v>0.09</v>
      </c>
      <c r="G189" s="30">
        <v>0.02</v>
      </c>
      <c r="H189" s="30"/>
      <c r="I189" s="30">
        <v>0.16</v>
      </c>
    </row>
    <row r="190" spans="1:9" x14ac:dyDescent="0.2">
      <c r="A190" s="31" t="s">
        <v>115</v>
      </c>
      <c r="B190" s="30"/>
      <c r="C190" s="30"/>
      <c r="D190" s="30"/>
      <c r="E190" s="30">
        <v>0.06</v>
      </c>
      <c r="F190" s="30">
        <v>0.05</v>
      </c>
      <c r="G190" s="30">
        <v>0.03</v>
      </c>
      <c r="H190" s="30"/>
      <c r="I190" s="30">
        <v>0.17</v>
      </c>
    </row>
    <row r="191" spans="1:9" x14ac:dyDescent="0.2">
      <c r="A191" s="33" t="s">
        <v>102</v>
      </c>
      <c r="B191" s="34">
        <v>0.19</v>
      </c>
      <c r="C191" s="34">
        <v>0.27</v>
      </c>
      <c r="D191" s="34">
        <v>0.17</v>
      </c>
      <c r="E191" s="34">
        <v>0.18</v>
      </c>
      <c r="F191" s="34">
        <v>0.24</v>
      </c>
      <c r="G191" s="34">
        <v>0.11</v>
      </c>
      <c r="H191" s="34"/>
      <c r="I191" s="34">
        <v>-0.13</v>
      </c>
    </row>
    <row r="192" spans="1:9" x14ac:dyDescent="0.2">
      <c r="A192" s="31" t="s">
        <v>113</v>
      </c>
      <c r="B192" s="30">
        <v>0.28000000000000003</v>
      </c>
      <c r="C192" s="30">
        <v>0.33</v>
      </c>
      <c r="D192" s="30">
        <v>7.0000000000000007E-2</v>
      </c>
      <c r="E192" s="30">
        <v>0.16</v>
      </c>
      <c r="F192" s="30">
        <v>0.25</v>
      </c>
      <c r="G192" s="30">
        <v>0.12</v>
      </c>
      <c r="H192" s="30"/>
      <c r="I192" s="30">
        <v>-0.1</v>
      </c>
    </row>
    <row r="193" spans="1:9" x14ac:dyDescent="0.2">
      <c r="A193" s="31" t="s">
        <v>114</v>
      </c>
      <c r="B193" s="30">
        <v>7.0000000000000007E-2</v>
      </c>
      <c r="C193" s="30">
        <v>0.17</v>
      </c>
      <c r="D193" s="30">
        <v>0.1</v>
      </c>
      <c r="E193" s="30">
        <v>0.23</v>
      </c>
      <c r="F193" s="30">
        <v>0.23</v>
      </c>
      <c r="G193" s="30">
        <v>0.08</v>
      </c>
      <c r="H193" s="30"/>
      <c r="I193" s="30">
        <v>-0.21</v>
      </c>
    </row>
    <row r="194" spans="1:9" x14ac:dyDescent="0.2">
      <c r="A194" s="31" t="s">
        <v>115</v>
      </c>
      <c r="B194" s="30">
        <v>0.01</v>
      </c>
      <c r="C194" s="30">
        <v>7.0000000000000007E-2</v>
      </c>
      <c r="D194" s="30">
        <v>-0.06</v>
      </c>
      <c r="E194" s="30">
        <v>-0.01</v>
      </c>
      <c r="F194" s="30">
        <v>0.08</v>
      </c>
      <c r="G194" s="30">
        <v>0.11</v>
      </c>
      <c r="H194" s="30"/>
      <c r="I194" s="30">
        <v>-0.06</v>
      </c>
    </row>
    <row r="195" spans="1:9" x14ac:dyDescent="0.2">
      <c r="A195" s="33" t="s">
        <v>106</v>
      </c>
      <c r="B195" s="34"/>
      <c r="C195" s="34"/>
      <c r="D195" s="34"/>
      <c r="E195" s="34">
        <v>0.1</v>
      </c>
      <c r="F195" s="34">
        <v>0.13</v>
      </c>
      <c r="G195" s="34">
        <v>0.01</v>
      </c>
      <c r="H195" s="34"/>
      <c r="I195" s="34">
        <v>0.16</v>
      </c>
    </row>
    <row r="196" spans="1:9" x14ac:dyDescent="0.2">
      <c r="A196" s="31" t="s">
        <v>113</v>
      </c>
      <c r="B196" s="30"/>
      <c r="C196" s="30"/>
      <c r="D196" s="30"/>
      <c r="E196" s="30">
        <v>0.09</v>
      </c>
      <c r="F196" s="30">
        <v>0.12</v>
      </c>
      <c r="G196" s="30">
        <v>0</v>
      </c>
      <c r="H196" s="30"/>
      <c r="I196" s="30">
        <v>0.17</v>
      </c>
    </row>
    <row r="197" spans="1:9" x14ac:dyDescent="0.2">
      <c r="A197" s="31" t="s">
        <v>114</v>
      </c>
      <c r="B197" s="30"/>
      <c r="C197" s="30"/>
      <c r="D197" s="30"/>
      <c r="E197" s="30">
        <v>0.15</v>
      </c>
      <c r="F197" s="30">
        <v>0.15</v>
      </c>
      <c r="G197" s="30">
        <v>0.03</v>
      </c>
      <c r="H197" s="30"/>
      <c r="I197" s="30">
        <v>0.12</v>
      </c>
    </row>
    <row r="198" spans="1:9" x14ac:dyDescent="0.2">
      <c r="A198" s="31" t="s">
        <v>115</v>
      </c>
      <c r="B198" s="30"/>
      <c r="C198" s="30"/>
      <c r="D198" s="30"/>
      <c r="E198" s="30">
        <v>-0.08</v>
      </c>
      <c r="F198" s="30">
        <v>0.08</v>
      </c>
      <c r="G198" s="30">
        <v>-0.04</v>
      </c>
      <c r="H198" s="30"/>
      <c r="I198" s="30">
        <v>0.28000000000000003</v>
      </c>
    </row>
    <row r="199" spans="1:9" x14ac:dyDescent="0.2">
      <c r="A199" s="33" t="s">
        <v>107</v>
      </c>
      <c r="B199" s="34">
        <v>-0.02</v>
      </c>
      <c r="C199" s="34">
        <v>-0.3</v>
      </c>
      <c r="D199" s="34">
        <v>0.02</v>
      </c>
      <c r="E199" s="34">
        <v>0.12</v>
      </c>
      <c r="F199" s="34">
        <v>-0.53</v>
      </c>
      <c r="G199" s="34">
        <v>-0.26</v>
      </c>
      <c r="H199" s="34"/>
      <c r="I199" s="34">
        <v>3.02</v>
      </c>
    </row>
    <row r="200" spans="1:9" x14ac:dyDescent="0.2">
      <c r="A200" s="35" t="s">
        <v>103</v>
      </c>
      <c r="B200" s="37">
        <v>0.14000000000000001</v>
      </c>
      <c r="C200" s="37">
        <v>0.13</v>
      </c>
      <c r="D200" s="37">
        <v>0.08</v>
      </c>
      <c r="E200" s="37">
        <v>0.05</v>
      </c>
      <c r="F200" s="37">
        <v>0.11</v>
      </c>
      <c r="G200" s="37">
        <v>0.02</v>
      </c>
      <c r="H200" s="37"/>
      <c r="I200" s="37">
        <v>0.06</v>
      </c>
    </row>
    <row r="201" spans="1:9" x14ac:dyDescent="0.2">
      <c r="A201" s="33" t="s">
        <v>104</v>
      </c>
      <c r="B201" s="34">
        <v>0.21</v>
      </c>
      <c r="C201" s="34">
        <v>0.02</v>
      </c>
      <c r="D201" s="34">
        <v>0.06</v>
      </c>
      <c r="E201" s="34">
        <v>-0.11</v>
      </c>
      <c r="F201" s="34">
        <v>0.03</v>
      </c>
      <c r="G201" s="34">
        <v>-0.01</v>
      </c>
      <c r="H201" s="34"/>
      <c r="I201" s="34">
        <v>7.0000000000000007E-2</v>
      </c>
    </row>
    <row r="202" spans="1:9" x14ac:dyDescent="0.2">
      <c r="A202" s="31" t="s">
        <v>113</v>
      </c>
      <c r="B202" s="30"/>
      <c r="C202" s="30"/>
      <c r="D202" s="30"/>
      <c r="E202" s="30"/>
      <c r="F202" s="30"/>
      <c r="G202" s="30"/>
      <c r="H202" s="30"/>
      <c r="I202" s="30">
        <v>0.06</v>
      </c>
    </row>
    <row r="203" spans="1:9" x14ac:dyDescent="0.2">
      <c r="A203" s="31" t="s">
        <v>114</v>
      </c>
      <c r="B203" s="30"/>
      <c r="C203" s="30"/>
      <c r="D203" s="30"/>
      <c r="E203" s="30"/>
      <c r="F203" s="30"/>
      <c r="G203" s="30"/>
      <c r="H203" s="30"/>
      <c r="I203" s="30">
        <v>-0.03</v>
      </c>
    </row>
    <row r="204" spans="1:9" x14ac:dyDescent="0.2">
      <c r="A204" s="31" t="s">
        <v>115</v>
      </c>
      <c r="B204" s="30"/>
      <c r="C204" s="30"/>
      <c r="D204" s="30"/>
      <c r="E204" s="30"/>
      <c r="F204" s="30"/>
      <c r="G204" s="30"/>
      <c r="H204" s="30"/>
      <c r="I204" s="30">
        <v>-0.16</v>
      </c>
    </row>
    <row r="205" spans="1:9" x14ac:dyDescent="0.2">
      <c r="A205" s="31" t="s">
        <v>121</v>
      </c>
      <c r="B205" s="30"/>
      <c r="C205" s="30"/>
      <c r="D205" s="30"/>
      <c r="E205" s="30"/>
      <c r="F205" s="30"/>
      <c r="G205" s="30"/>
      <c r="H205" s="30"/>
      <c r="I205" s="30">
        <v>0.42</v>
      </c>
    </row>
    <row r="206" spans="1:9" x14ac:dyDescent="0.2">
      <c r="A206" s="29" t="s">
        <v>108</v>
      </c>
      <c r="B206" s="30"/>
      <c r="C206" s="30"/>
      <c r="D206" s="30"/>
      <c r="E206" s="30"/>
      <c r="F206" s="30"/>
      <c r="G206" s="30"/>
      <c r="H206" s="30"/>
      <c r="I206" s="30">
        <v>0</v>
      </c>
    </row>
    <row r="207" spans="1:9" ht="16" thickBot="1" x14ac:dyDescent="0.25">
      <c r="A207" s="32" t="s">
        <v>105</v>
      </c>
      <c r="B207" s="36">
        <v>0.14000000000000001</v>
      </c>
      <c r="C207" s="36">
        <v>0.12</v>
      </c>
      <c r="D207" s="36">
        <v>0.08</v>
      </c>
      <c r="E207" s="36">
        <v>0.05</v>
      </c>
      <c r="F207" s="36">
        <v>-0.02</v>
      </c>
      <c r="G207" s="36">
        <v>-0.02</v>
      </c>
      <c r="H207" s="36"/>
      <c r="I207" s="36">
        <v>0.06</v>
      </c>
    </row>
    <row r="208" spans="1:9" ht="16" thickTop="1" x14ac:dyDescent="0.2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6"/>
  <sheetViews>
    <sheetView zoomScaleNormal="130" workbookViewId="0">
      <selection activeCell="B6" sqref="B6:C6"/>
    </sheetView>
  </sheetViews>
  <sheetFormatPr baseColWidth="10" defaultColWidth="8.83203125" defaultRowHeight="15" x14ac:dyDescent="0.2"/>
  <cols>
    <col min="1" max="1" width="48.83203125" customWidth="1"/>
    <col min="2" max="14" width="11.83203125" customWidth="1"/>
  </cols>
  <sheetData>
    <row r="1" spans="1:15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8">
        <f>+I1+1</f>
        <v>2023</v>
      </c>
      <c r="K1" s="38">
        <f t="shared" ref="K1:N1" si="1">+J1+1</f>
        <v>2024</v>
      </c>
      <c r="L1" s="38">
        <f t="shared" si="1"/>
        <v>2025</v>
      </c>
      <c r="M1" s="38">
        <f t="shared" si="1"/>
        <v>2026</v>
      </c>
      <c r="N1" s="38">
        <f t="shared" si="1"/>
        <v>2027</v>
      </c>
    </row>
    <row r="2" spans="1:15" x14ac:dyDescent="0.2">
      <c r="A2" s="39" t="s">
        <v>128</v>
      </c>
      <c r="B2" s="39"/>
      <c r="C2" s="39"/>
      <c r="D2" s="39"/>
      <c r="E2" s="39"/>
      <c r="F2" s="39"/>
      <c r="G2" s="39"/>
      <c r="H2" s="39"/>
      <c r="I2" s="39"/>
      <c r="J2" s="38"/>
      <c r="K2" s="38"/>
      <c r="L2" s="38"/>
      <c r="M2" s="38"/>
      <c r="N2" s="38"/>
    </row>
    <row r="3" spans="1:15" x14ac:dyDescent="0.2">
      <c r="A3" s="40" t="s">
        <v>139</v>
      </c>
      <c r="B3" s="3">
        <f>B21+B52+B83+B114+B145+B164+B199</f>
        <v>30601</v>
      </c>
      <c r="C3" s="3">
        <f t="shared" ref="C3:N3" si="2">C21+C52+C83+C114+C145+C164+C199</f>
        <v>32376</v>
      </c>
      <c r="D3" s="3">
        <f t="shared" si="2"/>
        <v>34350</v>
      </c>
      <c r="E3" s="3">
        <f t="shared" si="2"/>
        <v>36397</v>
      </c>
      <c r="F3" s="3">
        <f t="shared" si="2"/>
        <v>39117</v>
      </c>
      <c r="G3" s="3">
        <f t="shared" si="2"/>
        <v>37403</v>
      </c>
      <c r="H3" s="3">
        <f t="shared" si="2"/>
        <v>44538</v>
      </c>
      <c r="I3" s="3">
        <f t="shared" si="2"/>
        <v>46710</v>
      </c>
      <c r="J3" s="3">
        <f t="shared" si="2"/>
        <v>51149.91</v>
      </c>
      <c r="K3" s="3">
        <f t="shared" si="2"/>
        <v>56238.1178</v>
      </c>
      <c r="L3" s="3">
        <f t="shared" si="2"/>
        <v>62152.217064000004</v>
      </c>
      <c r="M3" s="3">
        <f t="shared" si="2"/>
        <v>69035.727678320007</v>
      </c>
      <c r="N3" s="3">
        <f t="shared" si="2"/>
        <v>77060.535136311591</v>
      </c>
      <c r="O3" t="s">
        <v>142</v>
      </c>
    </row>
    <row r="4" spans="1:15" x14ac:dyDescent="0.2">
      <c r="A4" s="41" t="s">
        <v>129</v>
      </c>
      <c r="B4" s="46" t="str">
        <f t="shared" ref="B4:H4" si="3">+IFERROR(B3/A3-1,"nm")</f>
        <v>nm</v>
      </c>
      <c r="C4" s="46">
        <f>+IFERROR(C3/B3-1,"nm")</f>
        <v>5.8004640371229765E-2</v>
      </c>
      <c r="D4" s="46">
        <f t="shared" si="3"/>
        <v>6.0971089696071123E-2</v>
      </c>
      <c r="E4" s="46">
        <f t="shared" si="3"/>
        <v>5.95924308588065E-2</v>
      </c>
      <c r="F4" s="46">
        <f t="shared" si="3"/>
        <v>7.4731433909388079E-2</v>
      </c>
      <c r="G4" s="46">
        <f t="shared" si="3"/>
        <v>-4.3817266150267153E-2</v>
      </c>
      <c r="H4" s="46">
        <f t="shared" si="3"/>
        <v>0.19076009945726269</v>
      </c>
      <c r="I4" s="46">
        <f>+IFERROR(I3/H3-1,"nm")</f>
        <v>4.8767344739323759E-2</v>
      </c>
      <c r="J4" s="46">
        <f t="shared" ref="J4:N4" si="4">+IFERROR(J3/I3-1,"nm")</f>
        <v>9.5052665382145296E-2</v>
      </c>
      <c r="K4" s="46">
        <f t="shared" si="4"/>
        <v>9.9476378355308759E-2</v>
      </c>
      <c r="L4" s="46">
        <f t="shared" si="4"/>
        <v>0.10516175674712924</v>
      </c>
      <c r="M4" s="46">
        <f t="shared" si="4"/>
        <v>0.11075245485180107</v>
      </c>
      <c r="N4" s="46">
        <f t="shared" si="4"/>
        <v>0.11624136846046018</v>
      </c>
    </row>
    <row r="5" spans="1:15" x14ac:dyDescent="0.2">
      <c r="A5" s="40" t="s">
        <v>130</v>
      </c>
      <c r="B5" s="58">
        <f>B35+B66+B97+B128+B147+B182+B201</f>
        <v>4839</v>
      </c>
      <c r="C5" s="58">
        <f t="shared" ref="C5:N5" si="5">C35+C66+C97+C128+C147+C182+C201</f>
        <v>5311</v>
      </c>
      <c r="D5" s="58">
        <f t="shared" si="5"/>
        <v>5016</v>
      </c>
      <c r="E5" s="58">
        <f t="shared" si="5"/>
        <v>4270</v>
      </c>
      <c r="F5" s="58">
        <f t="shared" si="5"/>
        <v>4552</v>
      </c>
      <c r="G5" s="58">
        <f t="shared" si="5"/>
        <v>2804</v>
      </c>
      <c r="H5" s="58">
        <f t="shared" si="5"/>
        <v>6452</v>
      </c>
      <c r="I5" s="58">
        <f t="shared" si="5"/>
        <v>5965</v>
      </c>
      <c r="J5" s="58">
        <f t="shared" si="5"/>
        <v>7843.0170999999991</v>
      </c>
      <c r="K5" s="58">
        <f t="shared" si="5"/>
        <v>8594.6197779999966</v>
      </c>
      <c r="L5" s="58">
        <f t="shared" si="5"/>
        <v>9486.2957892399972</v>
      </c>
      <c r="M5" s="58">
        <f t="shared" si="5"/>
        <v>10543.683541259194</v>
      </c>
      <c r="N5" s="58">
        <f t="shared" si="5"/>
        <v>11797.72951808833</v>
      </c>
      <c r="O5" t="s">
        <v>143</v>
      </c>
    </row>
    <row r="6" spans="1:15" x14ac:dyDescent="0.2">
      <c r="A6" s="41" t="s">
        <v>129</v>
      </c>
      <c r="B6" s="46" t="str">
        <f t="shared" ref="B6:H6" si="6">+IFERROR(B5/A5-1,"nm")</f>
        <v>nm</v>
      </c>
      <c r="C6" s="46">
        <f>+IFERROR(C5/B5-1,"nm")</f>
        <v>9.7540814217813576E-2</v>
      </c>
      <c r="D6" s="46">
        <f t="shared" si="6"/>
        <v>-5.5545095085671292E-2</v>
      </c>
      <c r="E6" s="46">
        <f t="shared" si="6"/>
        <v>-0.14872408293460926</v>
      </c>
      <c r="F6" s="46">
        <f t="shared" si="6"/>
        <v>6.6042154566744671E-2</v>
      </c>
      <c r="G6" s="46">
        <f t="shared" si="6"/>
        <v>-0.3840070298769771</v>
      </c>
      <c r="H6" s="46">
        <f t="shared" si="6"/>
        <v>1.3009985734664764</v>
      </c>
      <c r="I6" s="46">
        <f>+IFERROR(I5/H5-1,"nm")</f>
        <v>-7.5480471171729735E-2</v>
      </c>
      <c r="J6" s="46">
        <f t="shared" ref="J6:N6" si="7">+IFERROR(J5/I5-1,"nm")</f>
        <v>0.31483941324392273</v>
      </c>
      <c r="K6" s="46">
        <f t="shared" si="7"/>
        <v>9.5830809549044327E-2</v>
      </c>
      <c r="L6" s="46">
        <f t="shared" si="7"/>
        <v>0.10374816271947962</v>
      </c>
      <c r="M6" s="46">
        <f t="shared" si="7"/>
        <v>0.11146476722964493</v>
      </c>
      <c r="N6" s="46">
        <f t="shared" si="7"/>
        <v>0.11893812745060539</v>
      </c>
    </row>
    <row r="7" spans="1:15" x14ac:dyDescent="0.2">
      <c r="A7" s="41" t="s">
        <v>131</v>
      </c>
      <c r="B7" s="46">
        <f>+IFERROR(B5/B$3,"nm")</f>
        <v>0.15813208718669325</v>
      </c>
      <c r="C7" s="46">
        <f t="shared" ref="C7:N7" si="8">+IFERROR(C5/C$3,"nm")</f>
        <v>0.16404126513466766</v>
      </c>
      <c r="D7" s="46">
        <f t="shared" si="8"/>
        <v>0.14602620087336243</v>
      </c>
      <c r="E7" s="46">
        <f t="shared" si="8"/>
        <v>0.117317361320988</v>
      </c>
      <c r="F7" s="46">
        <f t="shared" si="8"/>
        <v>0.1163688421913746</v>
      </c>
      <c r="G7" s="46">
        <f t="shared" si="8"/>
        <v>7.4967248616421137E-2</v>
      </c>
      <c r="H7" s="46">
        <f t="shared" si="8"/>
        <v>0.14486505905069827</v>
      </c>
      <c r="I7" s="46">
        <f t="shared" si="8"/>
        <v>0.12770284735602655</v>
      </c>
      <c r="J7" s="46">
        <f t="shared" si="8"/>
        <v>0.15333393743996809</v>
      </c>
      <c r="K7" s="46">
        <f t="shared" si="8"/>
        <v>0.15282552322545895</v>
      </c>
      <c r="L7" s="46">
        <f t="shared" si="8"/>
        <v>0.15263004663971477</v>
      </c>
      <c r="M7" s="46">
        <f t="shared" si="8"/>
        <v>0.15272792647871711</v>
      </c>
      <c r="N7" s="46">
        <f t="shared" si="8"/>
        <v>0.15309690618186661</v>
      </c>
    </row>
    <row r="8" spans="1:15" x14ac:dyDescent="0.2">
      <c r="A8" s="40" t="s">
        <v>132</v>
      </c>
      <c r="B8" s="58">
        <f>B38+B69+B100+B131+B150+B185+B204</f>
        <v>606</v>
      </c>
      <c r="C8" s="58">
        <f t="shared" ref="C8:N8" si="9">C38+C69+C100+C131+C150+C185+C204</f>
        <v>669</v>
      </c>
      <c r="D8" s="58">
        <f t="shared" si="9"/>
        <v>711</v>
      </c>
      <c r="E8" s="58">
        <f t="shared" si="9"/>
        <v>741</v>
      </c>
      <c r="F8" s="58">
        <f t="shared" si="9"/>
        <v>699</v>
      </c>
      <c r="G8" s="58">
        <f t="shared" si="9"/>
        <v>716</v>
      </c>
      <c r="H8" s="58">
        <f t="shared" si="9"/>
        <v>755</v>
      </c>
      <c r="I8" s="58">
        <f t="shared" si="9"/>
        <v>731</v>
      </c>
      <c r="J8" s="58">
        <f>J38+J69+J100+J131+J150+J185+J204</f>
        <v>1019.4537529151939</v>
      </c>
      <c r="K8" s="58">
        <f t="shared" si="9"/>
        <v>1115.2269526418379</v>
      </c>
      <c r="L8" s="58">
        <f t="shared" si="9"/>
        <v>1224.8812915886529</v>
      </c>
      <c r="M8" s="58">
        <f t="shared" si="9"/>
        <v>1350.6548389099207</v>
      </c>
      <c r="N8" s="58">
        <f t="shared" si="9"/>
        <v>1495.1979248177279</v>
      </c>
      <c r="O8" t="s">
        <v>144</v>
      </c>
    </row>
    <row r="9" spans="1:15" x14ac:dyDescent="0.2">
      <c r="A9" s="41" t="s">
        <v>129</v>
      </c>
      <c r="B9" s="46" t="str">
        <f t="shared" ref="B9:H9" si="10">+IFERROR(B8/A8-1,"nm")</f>
        <v>nm</v>
      </c>
      <c r="C9" s="46">
        <f t="shared" si="10"/>
        <v>0.10396039603960405</v>
      </c>
      <c r="D9" s="46">
        <f t="shared" si="10"/>
        <v>6.2780269058295923E-2</v>
      </c>
      <c r="E9" s="46">
        <f t="shared" si="10"/>
        <v>4.2194092827004148E-2</v>
      </c>
      <c r="F9" s="46">
        <f t="shared" si="10"/>
        <v>-5.6680161943319818E-2</v>
      </c>
      <c r="G9" s="46">
        <f t="shared" si="10"/>
        <v>2.4320457796852546E-2</v>
      </c>
      <c r="H9" s="46">
        <f t="shared" si="10"/>
        <v>5.4469273743016799E-2</v>
      </c>
      <c r="I9" s="46">
        <f>+IFERROR(I8/H8-1,"nm")</f>
        <v>-3.1788079470198682E-2</v>
      </c>
      <c r="J9" s="46">
        <f t="shared" ref="J9:N9" si="11">+IFERROR(J8/I8-1,"nm")</f>
        <v>0.39460157717536792</v>
      </c>
      <c r="K9" s="46">
        <f t="shared" si="11"/>
        <v>9.3945605136843469E-2</v>
      </c>
      <c r="L9" s="46">
        <f t="shared" si="11"/>
        <v>9.8324685111902177E-2</v>
      </c>
      <c r="M9" s="46">
        <f t="shared" si="11"/>
        <v>0.10268223393153586</v>
      </c>
      <c r="N9" s="46">
        <f t="shared" si="11"/>
        <v>0.10701704221077257</v>
      </c>
    </row>
    <row r="10" spans="1:15" x14ac:dyDescent="0.2">
      <c r="A10" s="41" t="s">
        <v>133</v>
      </c>
      <c r="B10" s="46">
        <f>+IFERROR(B8/B$3,"nm")</f>
        <v>1.9803274402797295E-2</v>
      </c>
      <c r="C10" s="46">
        <f t="shared" ref="C10:N10" si="12">+IFERROR(C8/C$3,"nm")</f>
        <v>2.0663454410674575E-2</v>
      </c>
      <c r="D10" s="46">
        <f t="shared" si="12"/>
        <v>2.0698689956331878E-2</v>
      </c>
      <c r="E10" s="46">
        <f t="shared" si="12"/>
        <v>2.0358820781932577E-2</v>
      </c>
      <c r="F10" s="46">
        <f t="shared" si="12"/>
        <v>1.7869468517524349E-2</v>
      </c>
      <c r="G10" s="46">
        <f t="shared" si="12"/>
        <v>1.9142849504050478E-2</v>
      </c>
      <c r="H10" s="46">
        <f t="shared" si="12"/>
        <v>1.6951816426422382E-2</v>
      </c>
      <c r="I10" s="46">
        <f t="shared" si="12"/>
        <v>1.5649753800042819E-2</v>
      </c>
      <c r="J10" s="46">
        <f t="shared" si="12"/>
        <v>1.9930704724899689E-2</v>
      </c>
      <c r="K10" s="46">
        <f t="shared" si="12"/>
        <v>1.983044590162009E-2</v>
      </c>
      <c r="L10" s="46">
        <f t="shared" si="12"/>
        <v>1.97077650557076E-2</v>
      </c>
      <c r="M10" s="46">
        <f t="shared" si="12"/>
        <v>1.9564577420020164E-2</v>
      </c>
      <c r="N10" s="46">
        <f t="shared" si="12"/>
        <v>1.9402900877509968E-2</v>
      </c>
    </row>
    <row r="11" spans="1:15" x14ac:dyDescent="0.2">
      <c r="A11" s="40" t="s">
        <v>134</v>
      </c>
      <c r="B11" s="58">
        <f>B42+B73+B104+B135+B154+B189+B208</f>
        <v>4233</v>
      </c>
      <c r="C11" s="58">
        <f t="shared" ref="C11:I11" si="13">C42+C73+C104+C135+C154+C189+C208</f>
        <v>4642</v>
      </c>
      <c r="D11" s="58">
        <f t="shared" si="13"/>
        <v>4305</v>
      </c>
      <c r="E11" s="58">
        <f t="shared" si="13"/>
        <v>3529</v>
      </c>
      <c r="F11" s="58">
        <f t="shared" si="13"/>
        <v>3853</v>
      </c>
      <c r="G11" s="58">
        <f t="shared" si="13"/>
        <v>2088</v>
      </c>
      <c r="H11" s="58">
        <f t="shared" si="13"/>
        <v>5697</v>
      </c>
      <c r="I11" s="58">
        <f t="shared" si="13"/>
        <v>5234</v>
      </c>
      <c r="J11" s="58">
        <f t="shared" ref="J11:N11" si="14">J5-J8</f>
        <v>6823.5633470848052</v>
      </c>
      <c r="K11" s="58">
        <f t="shared" si="14"/>
        <v>7479.3928253581589</v>
      </c>
      <c r="L11" s="58">
        <f t="shared" si="14"/>
        <v>8261.4144976513453</v>
      </c>
      <c r="M11" s="58">
        <f t="shared" si="14"/>
        <v>9193.0287023492729</v>
      </c>
      <c r="N11" s="58">
        <f t="shared" si="14"/>
        <v>10302.531593270602</v>
      </c>
      <c r="O11" t="s">
        <v>145</v>
      </c>
    </row>
    <row r="12" spans="1:15" x14ac:dyDescent="0.2">
      <c r="A12" s="41" t="s">
        <v>129</v>
      </c>
      <c r="B12" s="46" t="str">
        <f t="shared" ref="B12:H12" si="15">+IFERROR(B11/A11-1,"nm")</f>
        <v>nm</v>
      </c>
      <c r="C12" s="46">
        <f t="shared" si="15"/>
        <v>9.6621781242617555E-2</v>
      </c>
      <c r="D12" s="46">
        <f t="shared" si="15"/>
        <v>-7.2598018095648476E-2</v>
      </c>
      <c r="E12" s="46">
        <f t="shared" si="15"/>
        <v>-0.1802555168408827</v>
      </c>
      <c r="F12" s="46">
        <f t="shared" si="15"/>
        <v>9.1810711249645793E-2</v>
      </c>
      <c r="G12" s="46">
        <f t="shared" si="15"/>
        <v>-0.4580846093952764</v>
      </c>
      <c r="H12" s="46">
        <f t="shared" si="15"/>
        <v>1.728448275862069</v>
      </c>
      <c r="I12" s="46">
        <f>+IFERROR(I11/H11-1,"nm")</f>
        <v>-8.1270844304019652E-2</v>
      </c>
      <c r="J12" s="46">
        <f>+IFERROR(J11/I11-1,"nm")</f>
        <v>0.30369953134979077</v>
      </c>
      <c r="K12" s="46">
        <f t="shared" ref="K12:N12" si="16">+IFERROR(K11/J11-1,"nm")</f>
        <v>9.6112462787282693E-2</v>
      </c>
      <c r="L12" s="46">
        <f t="shared" si="16"/>
        <v>0.10455683911156766</v>
      </c>
      <c r="M12" s="46">
        <f t="shared" si="16"/>
        <v>0.11276691236867231</v>
      </c>
      <c r="N12" s="46">
        <f t="shared" si="16"/>
        <v>0.12068959282568059</v>
      </c>
    </row>
    <row r="13" spans="1:15" x14ac:dyDescent="0.2">
      <c r="A13" s="41" t="s">
        <v>131</v>
      </c>
      <c r="B13" s="46">
        <f>+IFERROR(B11/B$3,"nm")</f>
        <v>0.13832881278389594</v>
      </c>
      <c r="C13" s="46">
        <f t="shared" ref="C13:N13" si="17">+IFERROR(C11/C$3,"nm")</f>
        <v>0.14337781072399308</v>
      </c>
      <c r="D13" s="46">
        <f t="shared" si="17"/>
        <v>0.12532751091703057</v>
      </c>
      <c r="E13" s="46">
        <f t="shared" si="17"/>
        <v>9.6958540539055421E-2</v>
      </c>
      <c r="F13" s="46">
        <f t="shared" si="17"/>
        <v>9.8499373673850241E-2</v>
      </c>
      <c r="G13" s="46">
        <f t="shared" si="17"/>
        <v>5.5824399112370665E-2</v>
      </c>
      <c r="H13" s="46">
        <f t="shared" si="17"/>
        <v>0.12791324262427589</v>
      </c>
      <c r="I13" s="46">
        <f t="shared" si="17"/>
        <v>0.11205309355598372</v>
      </c>
      <c r="J13" s="46">
        <f t="shared" si="17"/>
        <v>0.1334032327150684</v>
      </c>
      <c r="K13" s="46">
        <f t="shared" si="17"/>
        <v>0.13299507732383886</v>
      </c>
      <c r="L13" s="46">
        <f t="shared" si="17"/>
        <v>0.13292228158400718</v>
      </c>
      <c r="M13" s="46">
        <f t="shared" si="17"/>
        <v>0.13316334905869695</v>
      </c>
      <c r="N13" s="46">
        <f t="shared" si="17"/>
        <v>0.13369400530435663</v>
      </c>
    </row>
    <row r="14" spans="1:15" x14ac:dyDescent="0.2">
      <c r="A14" s="40" t="s">
        <v>135</v>
      </c>
      <c r="B14" s="58">
        <f t="shared" ref="B14:N14" si="18">B45+B76+B107+B138+B157+B192+B211</f>
        <v>963</v>
      </c>
      <c r="C14" s="58">
        <f t="shared" si="18"/>
        <v>1143</v>
      </c>
      <c r="D14" s="58">
        <f t="shared" si="18"/>
        <v>1105</v>
      </c>
      <c r="E14" s="58">
        <f t="shared" si="18"/>
        <v>1028</v>
      </c>
      <c r="F14" s="58">
        <f t="shared" si="18"/>
        <v>1119</v>
      </c>
      <c r="G14" s="58">
        <f t="shared" si="18"/>
        <v>1086</v>
      </c>
      <c r="H14" s="58">
        <f t="shared" si="18"/>
        <v>695</v>
      </c>
      <c r="I14" s="58">
        <f t="shared" si="18"/>
        <v>758</v>
      </c>
      <c r="J14" s="58">
        <f t="shared" si="18"/>
        <v>877.06778701753126</v>
      </c>
      <c r="K14" s="58">
        <f t="shared" si="18"/>
        <v>967.06093458273665</v>
      </c>
      <c r="L14" s="58">
        <f t="shared" si="18"/>
        <v>1070.2781009751459</v>
      </c>
      <c r="M14" s="58">
        <f t="shared" si="18"/>
        <v>1188.8255319086113</v>
      </c>
      <c r="N14" s="58">
        <f t="shared" si="18"/>
        <v>1325.191723307873</v>
      </c>
      <c r="O14" t="s">
        <v>146</v>
      </c>
    </row>
    <row r="15" spans="1:15" x14ac:dyDescent="0.2">
      <c r="A15" s="41" t="s">
        <v>129</v>
      </c>
      <c r="B15" s="46" t="str">
        <f t="shared" ref="B15:H15" si="19">+IFERROR(B14/A14-1,"nm")</f>
        <v>nm</v>
      </c>
      <c r="C15" s="46">
        <f t="shared" si="19"/>
        <v>0.18691588785046731</v>
      </c>
      <c r="D15" s="46">
        <f t="shared" si="19"/>
        <v>-3.3245844269466307E-2</v>
      </c>
      <c r="E15" s="46">
        <f t="shared" si="19"/>
        <v>-6.9683257918552011E-2</v>
      </c>
      <c r="F15" s="46">
        <f t="shared" si="19"/>
        <v>8.8521400778210024E-2</v>
      </c>
      <c r="G15" s="46">
        <f t="shared" si="19"/>
        <v>-2.9490616621983934E-2</v>
      </c>
      <c r="H15" s="46">
        <f t="shared" si="19"/>
        <v>-0.36003683241252304</v>
      </c>
      <c r="I15" s="46">
        <f>+IFERROR(I14/H14-1,"nm")</f>
        <v>9.0647482014388547E-2</v>
      </c>
      <c r="J15" s="46">
        <f t="shared" ref="J15:N15" si="20">+IFERROR(J14/I14-1,"nm")</f>
        <v>0.15708151321574038</v>
      </c>
      <c r="K15" s="46">
        <f t="shared" si="20"/>
        <v>0.10260683255877745</v>
      </c>
      <c r="L15" s="46">
        <f t="shared" si="20"/>
        <v>0.10673284660903493</v>
      </c>
      <c r="M15" s="46">
        <f t="shared" si="20"/>
        <v>0.11076320334449075</v>
      </c>
      <c r="N15" s="46">
        <f t="shared" si="20"/>
        <v>0.11470664764436145</v>
      </c>
    </row>
    <row r="16" spans="1:15" x14ac:dyDescent="0.2">
      <c r="A16" s="41" t="s">
        <v>133</v>
      </c>
      <c r="B16" s="46">
        <f>+IFERROR(B14/B$3,"nm")</f>
        <v>3.146955981830659E-2</v>
      </c>
      <c r="C16" s="46">
        <f t="shared" ref="C16:N16" si="21">+IFERROR(C14/C$3,"nm")</f>
        <v>3.5303928836174947E-2</v>
      </c>
      <c r="D16" s="46">
        <f t="shared" si="21"/>
        <v>3.2168850072780204E-2</v>
      </c>
      <c r="E16" s="46">
        <f t="shared" si="21"/>
        <v>2.8244086051048164E-2</v>
      </c>
      <c r="F16" s="46">
        <f t="shared" si="21"/>
        <v>2.8606488227624818E-2</v>
      </c>
      <c r="G16" s="46">
        <f t="shared" si="21"/>
        <v>2.9035104136031869E-2</v>
      </c>
      <c r="H16" s="46">
        <f t="shared" si="21"/>
        <v>1.5604652207104046E-2</v>
      </c>
      <c r="I16" s="46">
        <f t="shared" si="21"/>
        <v>1.6227788482123744E-2</v>
      </c>
      <c r="J16" s="46">
        <f t="shared" si="21"/>
        <v>1.7147005478944755E-2</v>
      </c>
      <c r="K16" s="46">
        <f t="shared" si="21"/>
        <v>1.7195826823755055E-2</v>
      </c>
      <c r="L16" s="46">
        <f t="shared" si="21"/>
        <v>1.7220272285267769E-2</v>
      </c>
      <c r="M16" s="46">
        <f t="shared" si="21"/>
        <v>1.7220438921830186E-2</v>
      </c>
      <c r="N16" s="46">
        <f t="shared" si="21"/>
        <v>1.7196762531738911E-2</v>
      </c>
    </row>
    <row r="17" spans="1:15" x14ac:dyDescent="0.2">
      <c r="A17" s="9" t="s">
        <v>141</v>
      </c>
      <c r="B17" s="58">
        <f>B48+B79+B110+B141+B160+B195+B214</f>
        <v>3011</v>
      </c>
      <c r="C17" s="58">
        <f t="shared" ref="C17:N17" si="22">C48+C79+C110+C141+C160+C195+C214</f>
        <v>3520</v>
      </c>
      <c r="D17" s="58">
        <f t="shared" si="22"/>
        <v>3989</v>
      </c>
      <c r="E17" s="58">
        <f t="shared" si="22"/>
        <v>4454</v>
      </c>
      <c r="F17" s="58">
        <f t="shared" si="22"/>
        <v>4744</v>
      </c>
      <c r="G17" s="58">
        <f t="shared" si="22"/>
        <v>4866</v>
      </c>
      <c r="H17" s="58">
        <f t="shared" si="22"/>
        <v>4904</v>
      </c>
      <c r="I17" s="58">
        <f t="shared" si="22"/>
        <v>4791</v>
      </c>
      <c r="J17" s="58">
        <f t="shared" si="22"/>
        <v>6199.7328999999991</v>
      </c>
      <c r="K17" s="58">
        <f t="shared" si="22"/>
        <v>6684.5539420000005</v>
      </c>
      <c r="L17" s="58">
        <f t="shared" si="22"/>
        <v>7244.0769493599992</v>
      </c>
      <c r="M17" s="58">
        <f t="shared" si="22"/>
        <v>7890.7286814088002</v>
      </c>
      <c r="N17" s="58">
        <f t="shared" si="22"/>
        <v>8639.2718589060041</v>
      </c>
      <c r="O17" t="s">
        <v>147</v>
      </c>
    </row>
    <row r="18" spans="1:15" x14ac:dyDescent="0.2">
      <c r="A18" s="41" t="s">
        <v>129</v>
      </c>
      <c r="B18" s="46" t="str">
        <f t="shared" ref="B18:H18" si="23">+IFERROR(B17/A17-1,"nm")</f>
        <v>nm</v>
      </c>
      <c r="C18" s="46">
        <f t="shared" si="23"/>
        <v>0.16904682829624718</v>
      </c>
      <c r="D18" s="46">
        <f t="shared" si="23"/>
        <v>0.13323863636363642</v>
      </c>
      <c r="E18" s="46">
        <f t="shared" si="23"/>
        <v>0.11657056906492858</v>
      </c>
      <c r="F18" s="46">
        <f t="shared" si="23"/>
        <v>6.5110013471037176E-2</v>
      </c>
      <c r="G18" s="46">
        <f t="shared" si="23"/>
        <v>2.5716694772343951E-2</v>
      </c>
      <c r="H18" s="46">
        <f t="shared" si="23"/>
        <v>7.8092889436909285E-3</v>
      </c>
      <c r="I18" s="46">
        <f>+IFERROR(I17/H17-1,"nm")</f>
        <v>-2.3042414355628038E-2</v>
      </c>
      <c r="J18" s="46">
        <f t="shared" ref="J18:N18" si="24">+IFERROR(J17/I17-1,"nm")</f>
        <v>0.29403734084742195</v>
      </c>
      <c r="K18" s="46">
        <f t="shared" si="24"/>
        <v>7.8200311177922144E-2</v>
      </c>
      <c r="L18" s="46">
        <f t="shared" si="24"/>
        <v>8.3703865989387394E-2</v>
      </c>
      <c r="M18" s="46">
        <f t="shared" si="24"/>
        <v>8.9266270439870343E-2</v>
      </c>
      <c r="N18" s="46">
        <f t="shared" si="24"/>
        <v>9.486363144899812E-2</v>
      </c>
    </row>
    <row r="19" spans="1:15" x14ac:dyDescent="0.2">
      <c r="A19" s="41" t="s">
        <v>133</v>
      </c>
      <c r="B19" s="46">
        <f>+IFERROR(B17/B$3,"nm")</f>
        <v>9.8395477271984569E-2</v>
      </c>
      <c r="C19" s="46">
        <f t="shared" ref="C19:N19" si="25">+IFERROR(C17/C$3,"nm")</f>
        <v>0.10872251050160613</v>
      </c>
      <c r="D19" s="46">
        <f t="shared" si="25"/>
        <v>0.11612809315866085</v>
      </c>
      <c r="E19" s="46">
        <f t="shared" si="25"/>
        <v>0.12237272302662307</v>
      </c>
      <c r="F19" s="46">
        <f t="shared" si="25"/>
        <v>0.1212771940588491</v>
      </c>
      <c r="G19" s="46">
        <f t="shared" si="25"/>
        <v>0.13009651632222013</v>
      </c>
      <c r="H19" s="46">
        <f t="shared" si="25"/>
        <v>0.11010822219228523</v>
      </c>
      <c r="I19" s="46">
        <f t="shared" si="25"/>
        <v>0.10256904303147078</v>
      </c>
      <c r="J19" s="46">
        <f t="shared" si="25"/>
        <v>0.12120711258338478</v>
      </c>
      <c r="K19" s="46">
        <f t="shared" si="25"/>
        <v>0.11886162274797896</v>
      </c>
      <c r="L19" s="46">
        <f t="shared" si="25"/>
        <v>0.11655379794256665</v>
      </c>
      <c r="M19" s="46">
        <f t="shared" si="25"/>
        <v>0.11429920342371949</v>
      </c>
      <c r="N19" s="46">
        <f t="shared" si="25"/>
        <v>0.1121101980880886</v>
      </c>
    </row>
    <row r="20" spans="1:15" x14ac:dyDescent="0.2">
      <c r="A20" s="42" t="s">
        <v>100</v>
      </c>
      <c r="B20" s="42"/>
      <c r="C20" s="42"/>
      <c r="D20" s="42"/>
      <c r="E20" s="42"/>
      <c r="F20" s="42"/>
      <c r="G20" s="42"/>
      <c r="H20" s="42"/>
      <c r="I20" s="42"/>
      <c r="J20" s="38"/>
      <c r="K20" s="38"/>
      <c r="L20" s="38"/>
      <c r="M20" s="38"/>
      <c r="N20" s="38"/>
    </row>
    <row r="21" spans="1:15" x14ac:dyDescent="0.2">
      <c r="A21" s="9" t="s">
        <v>136</v>
      </c>
      <c r="B21" s="9">
        <f>Historicals!B111</f>
        <v>13740</v>
      </c>
      <c r="C21" s="9">
        <f>Historicals!C111</f>
        <v>14764</v>
      </c>
      <c r="D21" s="9">
        <f>Historicals!D111</f>
        <v>15216</v>
      </c>
      <c r="E21" s="9">
        <f>Historicals!E111</f>
        <v>14855</v>
      </c>
      <c r="F21" s="9">
        <f>Historicals!F111</f>
        <v>15902</v>
      </c>
      <c r="G21" s="9">
        <f>Historicals!G111</f>
        <v>14484</v>
      </c>
      <c r="H21" s="9">
        <f>Historicals!H111</f>
        <v>17179</v>
      </c>
      <c r="I21" s="9">
        <f>Historicals!I111</f>
        <v>18353</v>
      </c>
      <c r="J21" s="9">
        <f>+SUM(J23+J27+J31)</f>
        <v>19121.04</v>
      </c>
      <c r="K21" s="9">
        <f t="shared" ref="K21:N21" si="26">+SUM(K23+K27+K31)</f>
        <v>19939.135200000001</v>
      </c>
      <c r="L21" s="9">
        <f t="shared" si="26"/>
        <v>20813.366256000001</v>
      </c>
      <c r="M21" s="9">
        <f t="shared" si="26"/>
        <v>21750.870853680004</v>
      </c>
      <c r="N21" s="9">
        <f t="shared" si="26"/>
        <v>22760.048281790405</v>
      </c>
    </row>
    <row r="22" spans="1:15" x14ac:dyDescent="0.2">
      <c r="A22" s="43" t="s">
        <v>129</v>
      </c>
      <c r="B22" s="46" t="str">
        <f t="shared" ref="B22:H22" si="27">+IFERROR(B21/A21-1,"nm")</f>
        <v>nm</v>
      </c>
      <c r="C22" s="46">
        <f t="shared" si="27"/>
        <v>7.4526928675400228E-2</v>
      </c>
      <c r="D22" s="46">
        <f t="shared" si="27"/>
        <v>3.0615009482525046E-2</v>
      </c>
      <c r="E22" s="46">
        <f t="shared" si="27"/>
        <v>-2.372502628811779E-2</v>
      </c>
      <c r="F22" s="46">
        <f t="shared" si="27"/>
        <v>7.0481319421070276E-2</v>
      </c>
      <c r="G22" s="46">
        <f t="shared" si="27"/>
        <v>-8.9171173437303519E-2</v>
      </c>
      <c r="H22" s="46">
        <f t="shared" si="27"/>
        <v>0.18606738470035911</v>
      </c>
      <c r="I22" s="46">
        <f>+IFERROR(I21/H21-1,"nm")</f>
        <v>6.8339251411607238E-2</v>
      </c>
      <c r="J22" s="46">
        <f>+IFERROR(J21/I21-1,"nm")</f>
        <v>4.1848199204489678E-2</v>
      </c>
      <c r="K22" s="46">
        <f t="shared" ref="K22:N22" si="28">+IFERROR(K21/J21-1,"nm")</f>
        <v>4.2785078635890095E-2</v>
      </c>
      <c r="L22" s="46">
        <f t="shared" si="28"/>
        <v>4.3844983607914889E-2</v>
      </c>
      <c r="M22" s="46">
        <f t="shared" si="28"/>
        <v>4.504339116262579E-2</v>
      </c>
      <c r="N22" s="46">
        <f t="shared" si="28"/>
        <v>4.6397104506721742E-2</v>
      </c>
    </row>
    <row r="23" spans="1:15" x14ac:dyDescent="0.2">
      <c r="A23" s="44" t="s">
        <v>113</v>
      </c>
      <c r="B23" s="3">
        <f>Historicals!B112</f>
        <v>8506</v>
      </c>
      <c r="C23" s="3">
        <f>Historicals!C112</f>
        <v>9299</v>
      </c>
      <c r="D23" s="3">
        <f>Historicals!D112</f>
        <v>9684</v>
      </c>
      <c r="E23" s="3">
        <f>Historicals!E112</f>
        <v>9322</v>
      </c>
      <c r="F23" s="3">
        <f>Historicals!F112</f>
        <v>10045</v>
      </c>
      <c r="G23" s="3">
        <f>Historicals!G112</f>
        <v>9329</v>
      </c>
      <c r="H23" s="3">
        <f>Historicals!H112</f>
        <v>11644</v>
      </c>
      <c r="I23" s="3">
        <f>Historicals!I112</f>
        <v>12228</v>
      </c>
      <c r="J23" s="3">
        <f>+I23*(1+J24)</f>
        <v>12594.84</v>
      </c>
      <c r="K23" s="3">
        <f t="shared" ref="K23:N23" si="29">+J23*(1+K24)</f>
        <v>12972.6852</v>
      </c>
      <c r="L23" s="3">
        <f t="shared" si="29"/>
        <v>13361.865756000001</v>
      </c>
      <c r="M23" s="3">
        <f t="shared" si="29"/>
        <v>13762.721728680002</v>
      </c>
      <c r="N23" s="3">
        <f t="shared" si="29"/>
        <v>14175.603380540402</v>
      </c>
    </row>
    <row r="24" spans="1:15" x14ac:dyDescent="0.2">
      <c r="A24" s="43" t="s">
        <v>129</v>
      </c>
      <c r="B24" s="46" t="str">
        <f t="shared" ref="B24:H24" si="30">+IFERROR(B23/A23-1,"nm")</f>
        <v>nm</v>
      </c>
      <c r="C24" s="46">
        <f t="shared" si="30"/>
        <v>9.3228309428638578E-2</v>
      </c>
      <c r="D24" s="46">
        <f t="shared" si="30"/>
        <v>4.1402301322722934E-2</v>
      </c>
      <c r="E24" s="46">
        <f t="shared" si="30"/>
        <v>-3.7381247418422192E-2</v>
      </c>
      <c r="F24" s="46">
        <f t="shared" si="30"/>
        <v>7.755846384895948E-2</v>
      </c>
      <c r="G24" s="46">
        <f t="shared" si="30"/>
        <v>-7.1279243404678949E-2</v>
      </c>
      <c r="H24" s="46">
        <f t="shared" si="30"/>
        <v>0.24815092721620746</v>
      </c>
      <c r="I24" s="46">
        <f>+IFERROR(I23/H23-1,"nm")</f>
        <v>5.0154586052902683E-2</v>
      </c>
      <c r="J24" s="46">
        <f>+J25+J26</f>
        <v>0.03</v>
      </c>
      <c r="K24" s="46">
        <f t="shared" ref="K24:N24" si="31">+K25+K26</f>
        <v>0.03</v>
      </c>
      <c r="L24" s="46">
        <f t="shared" si="31"/>
        <v>0.03</v>
      </c>
      <c r="M24" s="46">
        <f t="shared" si="31"/>
        <v>0.03</v>
      </c>
      <c r="N24" s="46">
        <f t="shared" si="31"/>
        <v>0.03</v>
      </c>
    </row>
    <row r="25" spans="1:15" x14ac:dyDescent="0.2">
      <c r="A25" s="43" t="s">
        <v>137</v>
      </c>
      <c r="B25" s="46">
        <f>Historicals!B184</f>
        <v>0.14000000000000001</v>
      </c>
      <c r="C25" s="46">
        <f>Historicals!C184</f>
        <v>0.1</v>
      </c>
      <c r="D25" s="46">
        <f>Historicals!D184</f>
        <v>0.04</v>
      </c>
      <c r="E25" s="46">
        <f>Historicals!E184</f>
        <v>-0.04</v>
      </c>
      <c r="F25" s="46">
        <f>Historicals!F184</f>
        <v>0.08</v>
      </c>
      <c r="G25" s="46">
        <f>Historicals!G184</f>
        <v>-7.0000000000000007E-2</v>
      </c>
      <c r="H25" s="46">
        <f>Historicals!H184</f>
        <v>0</v>
      </c>
      <c r="I25" s="46">
        <f>Historicals!I184</f>
        <v>0.05</v>
      </c>
      <c r="J25" s="48">
        <v>0.03</v>
      </c>
      <c r="K25" s="48">
        <f t="shared" ref="K25:N26" si="32">+J25</f>
        <v>0.03</v>
      </c>
      <c r="L25" s="48">
        <f t="shared" si="32"/>
        <v>0.03</v>
      </c>
      <c r="M25" s="48">
        <f t="shared" si="32"/>
        <v>0.03</v>
      </c>
      <c r="N25" s="48">
        <f t="shared" si="32"/>
        <v>0.03</v>
      </c>
      <c r="O25" t="s">
        <v>218</v>
      </c>
    </row>
    <row r="26" spans="1:15" x14ac:dyDescent="0.2">
      <c r="A26" s="43" t="s">
        <v>138</v>
      </c>
      <c r="B26" s="46" t="str">
        <f t="shared" ref="B26:H26" si="33">+IFERROR(B24-B25,"nm")</f>
        <v>nm</v>
      </c>
      <c r="C26" s="46">
        <f t="shared" si="33"/>
        <v>-6.7716905713614273E-3</v>
      </c>
      <c r="D26" s="46">
        <f t="shared" si="33"/>
        <v>1.4023013227229333E-3</v>
      </c>
      <c r="E26" s="46">
        <f t="shared" si="33"/>
        <v>2.6187525815778087E-3</v>
      </c>
      <c r="F26" s="46">
        <f t="shared" si="33"/>
        <v>-2.4415361510405215E-3</v>
      </c>
      <c r="G26" s="46">
        <f t="shared" si="33"/>
        <v>-1.2792434046789425E-3</v>
      </c>
      <c r="H26" s="46">
        <f t="shared" si="33"/>
        <v>0.24815092721620746</v>
      </c>
      <c r="I26" s="46">
        <f>+IFERROR(I24-I25,"nm")</f>
        <v>1.5458605290268046E-4</v>
      </c>
      <c r="J26" s="48">
        <v>0</v>
      </c>
      <c r="K26" s="48">
        <f t="shared" si="32"/>
        <v>0</v>
      </c>
      <c r="L26" s="48">
        <f t="shared" si="32"/>
        <v>0</v>
      </c>
      <c r="M26" s="48">
        <f t="shared" si="32"/>
        <v>0</v>
      </c>
      <c r="N26" s="48">
        <f t="shared" si="32"/>
        <v>0</v>
      </c>
    </row>
    <row r="27" spans="1:15" x14ac:dyDescent="0.2">
      <c r="A27" s="44" t="s">
        <v>114</v>
      </c>
      <c r="B27" s="3">
        <f>Historicals!B113</f>
        <v>4410</v>
      </c>
      <c r="C27" s="3">
        <f>Historicals!C113</f>
        <v>4746</v>
      </c>
      <c r="D27" s="3">
        <f>Historicals!D113</f>
        <v>4886</v>
      </c>
      <c r="E27" s="3">
        <f>Historicals!E113</f>
        <v>4938</v>
      </c>
      <c r="F27" s="3">
        <f>Historicals!F113</f>
        <v>5260</v>
      </c>
      <c r="G27" s="3">
        <f>Historicals!G113</f>
        <v>4639</v>
      </c>
      <c r="H27" s="3">
        <f>Historicals!H113</f>
        <v>5028</v>
      </c>
      <c r="I27" s="3">
        <f>Historicals!I113</f>
        <v>5492</v>
      </c>
      <c r="J27" s="3">
        <f>+I27*(1+J28)</f>
        <v>5766.6</v>
      </c>
      <c r="K27" s="3">
        <f t="shared" ref="K27:N27" si="34">+J27*(1+K28)</f>
        <v>6054.93</v>
      </c>
      <c r="L27" s="3">
        <f t="shared" si="34"/>
        <v>6357.6765000000005</v>
      </c>
      <c r="M27" s="3">
        <f t="shared" si="34"/>
        <v>6675.5603250000004</v>
      </c>
      <c r="N27" s="3">
        <f t="shared" si="34"/>
        <v>7009.3383412500007</v>
      </c>
    </row>
    <row r="28" spans="1:15" x14ac:dyDescent="0.2">
      <c r="A28" s="43" t="s">
        <v>129</v>
      </c>
      <c r="B28" s="46" t="str">
        <f t="shared" ref="B28" si="35">+IFERROR(B27/A27-1,"nm")</f>
        <v>nm</v>
      </c>
      <c r="C28" s="46">
        <f t="shared" ref="C28" si="36">+IFERROR(C27/B27-1,"nm")</f>
        <v>7.6190476190476142E-2</v>
      </c>
      <c r="D28" s="46">
        <f t="shared" ref="D28" si="37">+IFERROR(D27/C27-1,"nm")</f>
        <v>2.9498525073746285E-2</v>
      </c>
      <c r="E28" s="46">
        <f t="shared" ref="E28" si="38">+IFERROR(E27/D27-1,"nm")</f>
        <v>1.0642652476463343E-2</v>
      </c>
      <c r="F28" s="46">
        <f t="shared" ref="F28" si="39">+IFERROR(F27/E27-1,"nm")</f>
        <v>6.5208586472256025E-2</v>
      </c>
      <c r="G28" s="46">
        <f t="shared" ref="G28" si="40">+IFERROR(G27/F27-1,"nm")</f>
        <v>-0.11806083650190113</v>
      </c>
      <c r="H28" s="46">
        <f t="shared" ref="H28" si="41">+IFERROR(H27/G27-1,"nm")</f>
        <v>8.3854278939426541E-2</v>
      </c>
      <c r="I28" s="46">
        <f t="shared" ref="I28" si="42">+IFERROR(I27/H27-1,"nm")</f>
        <v>9.2283214001591007E-2</v>
      </c>
      <c r="J28" s="46">
        <f>+J29+J30</f>
        <v>0.05</v>
      </c>
      <c r="K28" s="46">
        <f t="shared" ref="K28:N28" si="43">+K29+K30</f>
        <v>0.05</v>
      </c>
      <c r="L28" s="46">
        <f t="shared" si="43"/>
        <v>0.05</v>
      </c>
      <c r="M28" s="46">
        <f t="shared" si="43"/>
        <v>0.05</v>
      </c>
      <c r="N28" s="46">
        <f t="shared" si="43"/>
        <v>0.05</v>
      </c>
    </row>
    <row r="29" spans="1:15" x14ac:dyDescent="0.2">
      <c r="A29" s="43" t="s">
        <v>137</v>
      </c>
      <c r="B29" s="46">
        <f>Historicals!B185</f>
        <v>0.12</v>
      </c>
      <c r="C29" s="46">
        <f>Historicals!C185</f>
        <v>0.08</v>
      </c>
      <c r="D29" s="46">
        <f>Historicals!D185</f>
        <v>0.03</v>
      </c>
      <c r="E29" s="46">
        <f>Historicals!E185</f>
        <v>0.01</v>
      </c>
      <c r="F29" s="46">
        <f>Historicals!F185</f>
        <v>7.0000000000000007E-2</v>
      </c>
      <c r="G29" s="46">
        <f>Historicals!G185</f>
        <v>-0.12</v>
      </c>
      <c r="H29" s="46">
        <f>Historicals!H185</f>
        <v>0</v>
      </c>
      <c r="I29" s="46">
        <f>Historicals!I185</f>
        <v>0.09</v>
      </c>
      <c r="J29" s="48">
        <v>0.05</v>
      </c>
      <c r="K29" s="48">
        <f t="shared" ref="K29:N30" si="44">+J29</f>
        <v>0.05</v>
      </c>
      <c r="L29" s="48">
        <f t="shared" si="44"/>
        <v>0.05</v>
      </c>
      <c r="M29" s="48">
        <f t="shared" si="44"/>
        <v>0.05</v>
      </c>
      <c r="N29" s="48">
        <f t="shared" si="44"/>
        <v>0.05</v>
      </c>
      <c r="O29" t="s">
        <v>218</v>
      </c>
    </row>
    <row r="30" spans="1:15" x14ac:dyDescent="0.2">
      <c r="A30" s="43" t="s">
        <v>138</v>
      </c>
      <c r="B30" s="46" t="str">
        <f t="shared" ref="B30:H30" si="45">+IFERROR(B28-B29,"nm")</f>
        <v>nm</v>
      </c>
      <c r="C30" s="46">
        <f t="shared" si="45"/>
        <v>-3.8095238095238598E-3</v>
      </c>
      <c r="D30" s="46">
        <f t="shared" si="45"/>
        <v>-5.0147492625371437E-4</v>
      </c>
      <c r="E30" s="46">
        <f t="shared" si="45"/>
        <v>6.4265247646334324E-4</v>
      </c>
      <c r="F30" s="46">
        <f t="shared" si="45"/>
        <v>-4.7914135277439818E-3</v>
      </c>
      <c r="G30" s="46">
        <f t="shared" si="45"/>
        <v>1.9391634980988615E-3</v>
      </c>
      <c r="H30" s="46">
        <f t="shared" si="45"/>
        <v>8.3854278939426541E-2</v>
      </c>
      <c r="I30" s="46">
        <f>+IFERROR(I28-I29,"nm")</f>
        <v>2.2832140015910107E-3</v>
      </c>
      <c r="J30" s="48">
        <v>0</v>
      </c>
      <c r="K30" s="48">
        <f t="shared" si="44"/>
        <v>0</v>
      </c>
      <c r="L30" s="48">
        <f t="shared" si="44"/>
        <v>0</v>
      </c>
      <c r="M30" s="48">
        <f t="shared" si="44"/>
        <v>0</v>
      </c>
      <c r="N30" s="48">
        <f t="shared" si="44"/>
        <v>0</v>
      </c>
    </row>
    <row r="31" spans="1:15" x14ac:dyDescent="0.2">
      <c r="A31" s="44" t="s">
        <v>115</v>
      </c>
      <c r="B31" s="3">
        <f>Historicals!B114</f>
        <v>824</v>
      </c>
      <c r="C31" s="3">
        <f>Historicals!C114</f>
        <v>719</v>
      </c>
      <c r="D31" s="3">
        <f>Historicals!D114</f>
        <v>646</v>
      </c>
      <c r="E31" s="3">
        <f>Historicals!E114</f>
        <v>595</v>
      </c>
      <c r="F31" s="3">
        <f>Historicals!F114</f>
        <v>597</v>
      </c>
      <c r="G31" s="3">
        <f>Historicals!G114</f>
        <v>516</v>
      </c>
      <c r="H31" s="3">
        <f>Historicals!H114</f>
        <v>507</v>
      </c>
      <c r="I31" s="3">
        <f>Historicals!I114</f>
        <v>633</v>
      </c>
      <c r="J31" s="3">
        <f>+I31*(1+J32)</f>
        <v>759.6</v>
      </c>
      <c r="K31" s="3">
        <f t="shared" ref="K31:N31" si="46">+J31*(1+K32)</f>
        <v>911.52</v>
      </c>
      <c r="L31" s="3">
        <f t="shared" si="46"/>
        <v>1093.8239999999998</v>
      </c>
      <c r="M31" s="3">
        <f t="shared" si="46"/>
        <v>1312.5887999999998</v>
      </c>
      <c r="N31" s="3">
        <f t="shared" si="46"/>
        <v>1575.1065599999997</v>
      </c>
    </row>
    <row r="32" spans="1:15" x14ac:dyDescent="0.2">
      <c r="A32" s="43" t="s">
        <v>129</v>
      </c>
      <c r="B32" s="46" t="str">
        <f t="shared" ref="B32:H32" si="47">+IFERROR(B31/A31-1,"nm")</f>
        <v>nm</v>
      </c>
      <c r="C32" s="46">
        <f t="shared" si="47"/>
        <v>-0.12742718446601942</v>
      </c>
      <c r="D32" s="46">
        <f t="shared" si="47"/>
        <v>-0.10152990264255912</v>
      </c>
      <c r="E32" s="46">
        <f t="shared" si="47"/>
        <v>-7.8947368421052655E-2</v>
      </c>
      <c r="F32" s="46">
        <f t="shared" si="47"/>
        <v>3.3613445378151141E-3</v>
      </c>
      <c r="G32" s="46">
        <f t="shared" si="47"/>
        <v>-0.13567839195979903</v>
      </c>
      <c r="H32" s="46">
        <f t="shared" si="47"/>
        <v>-1.744186046511631E-2</v>
      </c>
      <c r="I32" s="46">
        <f>+IFERROR(I31/H31-1,"nm")</f>
        <v>0.24852071005917153</v>
      </c>
      <c r="J32" s="46">
        <f>+J33+J34</f>
        <v>0.2</v>
      </c>
      <c r="K32" s="46">
        <f t="shared" ref="K32:N32" si="48">+K33+K34</f>
        <v>0.2</v>
      </c>
      <c r="L32" s="46">
        <f t="shared" si="48"/>
        <v>0.2</v>
      </c>
      <c r="M32" s="46">
        <f t="shared" si="48"/>
        <v>0.2</v>
      </c>
      <c r="N32" s="46">
        <f t="shared" si="48"/>
        <v>0.2</v>
      </c>
    </row>
    <row r="33" spans="1:15" x14ac:dyDescent="0.2">
      <c r="A33" s="43" t="s">
        <v>137</v>
      </c>
      <c r="B33" s="46">
        <f>Historicals!B186</f>
        <v>-0.05</v>
      </c>
      <c r="C33" s="46">
        <f>Historicals!C186</f>
        <v>-0.13</v>
      </c>
      <c r="D33" s="46">
        <f>Historicals!D186</f>
        <v>-0.1</v>
      </c>
      <c r="E33" s="46">
        <f>Historicals!E186</f>
        <v>-0.08</v>
      </c>
      <c r="F33" s="46">
        <f>Historicals!F186</f>
        <v>0</v>
      </c>
      <c r="G33" s="46">
        <f>Historicals!G186</f>
        <v>0.14000000000000001</v>
      </c>
      <c r="H33" s="46">
        <f>Historicals!H186</f>
        <v>0</v>
      </c>
      <c r="I33" s="46">
        <f>Historicals!I186</f>
        <v>0.25</v>
      </c>
      <c r="J33" s="48">
        <v>0.2</v>
      </c>
      <c r="K33" s="48">
        <f t="shared" ref="K33:N34" si="49">+J33</f>
        <v>0.2</v>
      </c>
      <c r="L33" s="48">
        <f t="shared" si="49"/>
        <v>0.2</v>
      </c>
      <c r="M33" s="48">
        <f t="shared" si="49"/>
        <v>0.2</v>
      </c>
      <c r="N33" s="48">
        <f t="shared" si="49"/>
        <v>0.2</v>
      </c>
      <c r="O33" t="s">
        <v>218</v>
      </c>
    </row>
    <row r="34" spans="1:15" x14ac:dyDescent="0.2">
      <c r="A34" s="43" t="s">
        <v>138</v>
      </c>
      <c r="B34" s="46" t="str">
        <f t="shared" ref="B34:H34" si="50">+IFERROR(B32-B33,"nm")</f>
        <v>nm</v>
      </c>
      <c r="C34" s="46">
        <f t="shared" si="50"/>
        <v>2.572815533980588E-3</v>
      </c>
      <c r="D34" s="46">
        <f t="shared" si="50"/>
        <v>-1.5299026425591167E-3</v>
      </c>
      <c r="E34" s="46">
        <f t="shared" si="50"/>
        <v>1.0526315789473467E-3</v>
      </c>
      <c r="F34" s="46">
        <f t="shared" si="50"/>
        <v>3.3613445378151141E-3</v>
      </c>
      <c r="G34" s="46">
        <f t="shared" si="50"/>
        <v>-0.27567839195979904</v>
      </c>
      <c r="H34" s="46">
        <f t="shared" si="50"/>
        <v>-1.744186046511631E-2</v>
      </c>
      <c r="I34" s="46">
        <f>+IFERROR(I32-I33,"nm")</f>
        <v>-1.4792899408284654E-3</v>
      </c>
      <c r="J34" s="48">
        <v>0</v>
      </c>
      <c r="K34" s="48">
        <f t="shared" si="49"/>
        <v>0</v>
      </c>
      <c r="L34" s="48">
        <f t="shared" si="49"/>
        <v>0</v>
      </c>
      <c r="M34" s="48">
        <f t="shared" si="49"/>
        <v>0</v>
      </c>
      <c r="N34" s="48">
        <f t="shared" si="49"/>
        <v>0</v>
      </c>
    </row>
    <row r="35" spans="1:15" x14ac:dyDescent="0.2">
      <c r="A35" s="9" t="s">
        <v>130</v>
      </c>
      <c r="B35" s="47">
        <f>+B42+B38</f>
        <v>3766</v>
      </c>
      <c r="C35" s="47">
        <f t="shared" ref="C35:H35" si="51">+C42+C38</f>
        <v>3896</v>
      </c>
      <c r="D35" s="47">
        <f t="shared" si="51"/>
        <v>4015</v>
      </c>
      <c r="E35" s="47">
        <f t="shared" si="51"/>
        <v>3760</v>
      </c>
      <c r="F35" s="47">
        <f t="shared" si="51"/>
        <v>4074</v>
      </c>
      <c r="G35" s="47">
        <f t="shared" si="51"/>
        <v>3047</v>
      </c>
      <c r="H35" s="47">
        <f t="shared" si="51"/>
        <v>5219</v>
      </c>
      <c r="I35" s="47">
        <f>+I42+I38</f>
        <v>5238</v>
      </c>
      <c r="J35" s="47">
        <f>+J21*J37</f>
        <v>6692.3639999999996</v>
      </c>
      <c r="K35" s="47">
        <f t="shared" ref="K35:N35" si="52">+K21*K37</f>
        <v>6978.6973200000002</v>
      </c>
      <c r="L35" s="47">
        <f t="shared" si="52"/>
        <v>7284.6781896000002</v>
      </c>
      <c r="M35" s="47">
        <f t="shared" si="52"/>
        <v>7612.8047987880009</v>
      </c>
      <c r="N35" s="47">
        <f t="shared" si="52"/>
        <v>7966.0168986266408</v>
      </c>
      <c r="O35" t="s">
        <v>221</v>
      </c>
    </row>
    <row r="36" spans="1:15" x14ac:dyDescent="0.2">
      <c r="A36" s="45" t="s">
        <v>129</v>
      </c>
      <c r="B36" s="46" t="str">
        <f t="shared" ref="B36:H36" si="53">+IFERROR(B35/A35-1,"nm")</f>
        <v>nm</v>
      </c>
      <c r="C36" s="46">
        <f t="shared" si="53"/>
        <v>3.4519383961763239E-2</v>
      </c>
      <c r="D36" s="46">
        <f t="shared" si="53"/>
        <v>3.0544147843942548E-2</v>
      </c>
      <c r="E36" s="46">
        <f t="shared" si="53"/>
        <v>-6.3511830635118338E-2</v>
      </c>
      <c r="F36" s="46">
        <f t="shared" si="53"/>
        <v>8.3510638297872308E-2</v>
      </c>
      <c r="G36" s="46">
        <f t="shared" si="53"/>
        <v>-0.25208640157093765</v>
      </c>
      <c r="H36" s="46">
        <f t="shared" si="53"/>
        <v>0.71283229405973092</v>
      </c>
      <c r="I36" s="46">
        <f>+IFERROR(I35/H35-1,"nm")</f>
        <v>3.6405441655489312E-3</v>
      </c>
      <c r="J36" s="46">
        <f>+IFERROR(J35/I35-1,"nm")</f>
        <v>0.27765635738831618</v>
      </c>
      <c r="K36" s="46">
        <f t="shared" ref="K36:N36" si="54">+IFERROR(K35/J35-1,"nm")</f>
        <v>4.2785078635890095E-2</v>
      </c>
      <c r="L36" s="46">
        <f t="shared" si="54"/>
        <v>4.3844983607914889E-2</v>
      </c>
      <c r="M36" s="46">
        <f t="shared" si="54"/>
        <v>4.5043391162625568E-2</v>
      </c>
      <c r="N36" s="46">
        <f t="shared" si="54"/>
        <v>4.6397104506721742E-2</v>
      </c>
    </row>
    <row r="37" spans="1:15" x14ac:dyDescent="0.2">
      <c r="A37" s="45" t="s">
        <v>131</v>
      </c>
      <c r="B37" s="46">
        <f t="shared" ref="B37:H37" si="55">+IFERROR(B35/B$21,"nm")</f>
        <v>0.27409024745269289</v>
      </c>
      <c r="C37" s="46">
        <f t="shared" si="55"/>
        <v>0.26388512598211866</v>
      </c>
      <c r="D37" s="46">
        <f t="shared" si="55"/>
        <v>0.26386698212407994</v>
      </c>
      <c r="E37" s="46">
        <f t="shared" si="55"/>
        <v>0.25311342982160889</v>
      </c>
      <c r="F37" s="46">
        <f t="shared" si="55"/>
        <v>0.25619418941013711</v>
      </c>
      <c r="G37" s="46">
        <f t="shared" si="55"/>
        <v>0.2103700635183651</v>
      </c>
      <c r="H37" s="46">
        <f t="shared" si="55"/>
        <v>0.30380115256999823</v>
      </c>
      <c r="I37" s="46">
        <f>+IFERROR(I35/I$21,"nm")</f>
        <v>0.28540293140086087</v>
      </c>
      <c r="J37" s="48">
        <v>0.35</v>
      </c>
      <c r="K37" s="48">
        <f t="shared" ref="K37:N37" si="56">+J37</f>
        <v>0.35</v>
      </c>
      <c r="L37" s="48">
        <f t="shared" si="56"/>
        <v>0.35</v>
      </c>
      <c r="M37" s="48">
        <f t="shared" si="56"/>
        <v>0.35</v>
      </c>
      <c r="N37" s="48">
        <f t="shared" si="56"/>
        <v>0.35</v>
      </c>
    </row>
    <row r="38" spans="1:15" x14ac:dyDescent="0.2">
      <c r="A38" s="9" t="s">
        <v>132</v>
      </c>
      <c r="B38" s="9">
        <f>Historicals!B171</f>
        <v>121</v>
      </c>
      <c r="C38" s="9">
        <f>Historicals!C171</f>
        <v>133</v>
      </c>
      <c r="D38" s="9">
        <f>Historicals!D171</f>
        <v>140</v>
      </c>
      <c r="E38" s="9">
        <f>Historicals!E171</f>
        <v>160</v>
      </c>
      <c r="F38" s="9">
        <f>Historicals!F171</f>
        <v>149</v>
      </c>
      <c r="G38" s="9">
        <f>Historicals!G171</f>
        <v>148</v>
      </c>
      <c r="H38" s="9">
        <f>Historicals!H171</f>
        <v>130</v>
      </c>
      <c r="I38" s="9">
        <f>Historicals!I171</f>
        <v>124</v>
      </c>
      <c r="J38" s="47">
        <f>+J41*J48</f>
        <v>185.52495774647889</v>
      </c>
      <c r="K38" s="47">
        <f t="shared" ref="K38:N38" si="57">+K41*K48</f>
        <v>193.46265765258215</v>
      </c>
      <c r="L38" s="47">
        <f t="shared" si="57"/>
        <v>201.94502470610331</v>
      </c>
      <c r="M38" s="47">
        <f t="shared" si="57"/>
        <v>211.0413134472864</v>
      </c>
      <c r="N38" s="47">
        <f t="shared" si="57"/>
        <v>220.83301932253602</v>
      </c>
      <c r="O38" t="s">
        <v>220</v>
      </c>
    </row>
    <row r="39" spans="1:15" x14ac:dyDescent="0.2">
      <c r="A39" s="45" t="s">
        <v>129</v>
      </c>
      <c r="B39" s="46" t="str">
        <f t="shared" ref="B39:H39" si="58">+IFERROR(B38/A38-1,"nm")</f>
        <v>nm</v>
      </c>
      <c r="C39" s="46">
        <f t="shared" si="58"/>
        <v>9.9173553719008156E-2</v>
      </c>
      <c r="D39" s="46">
        <f t="shared" si="58"/>
        <v>5.2631578947368363E-2</v>
      </c>
      <c r="E39" s="46">
        <f t="shared" si="58"/>
        <v>0.14285714285714279</v>
      </c>
      <c r="F39" s="46">
        <f t="shared" si="58"/>
        <v>-6.8749999999999978E-2</v>
      </c>
      <c r="G39" s="46">
        <f t="shared" si="58"/>
        <v>-6.7114093959731447E-3</v>
      </c>
      <c r="H39" s="46">
        <f t="shared" si="58"/>
        <v>-0.1216216216216216</v>
      </c>
      <c r="I39" s="46">
        <f>+IFERROR(I38/H38-1,"nm")</f>
        <v>-4.6153846153846101E-2</v>
      </c>
      <c r="J39" s="46">
        <f>+IFERROR(J38/I38-1,"nm")</f>
        <v>0.4961690140845072</v>
      </c>
      <c r="K39" s="46">
        <f t="shared" ref="K39:N39" si="59">+IFERROR(K38/J38-1,"nm")</f>
        <v>4.2785078635889873E-2</v>
      </c>
      <c r="L39" s="46">
        <f t="shared" si="59"/>
        <v>4.3844983607915111E-2</v>
      </c>
      <c r="M39" s="46">
        <f t="shared" si="59"/>
        <v>4.5043391162625568E-2</v>
      </c>
      <c r="N39" s="46">
        <f t="shared" si="59"/>
        <v>4.6397104506721965E-2</v>
      </c>
    </row>
    <row r="40" spans="1:15" x14ac:dyDescent="0.2">
      <c r="A40" s="45" t="s">
        <v>133</v>
      </c>
      <c r="B40" s="46">
        <f t="shared" ref="B40:H40" si="60">+IFERROR(B38/B$21,"nm")</f>
        <v>8.8064046579330417E-3</v>
      </c>
      <c r="C40" s="46">
        <f t="shared" si="60"/>
        <v>9.0083988079111346E-3</v>
      </c>
      <c r="D40" s="46">
        <f t="shared" si="60"/>
        <v>9.2008412197686646E-3</v>
      </c>
      <c r="E40" s="46">
        <f t="shared" si="60"/>
        <v>1.0770784247728038E-2</v>
      </c>
      <c r="F40" s="46">
        <f t="shared" si="60"/>
        <v>9.3698905798012821E-3</v>
      </c>
      <c r="G40" s="46">
        <f t="shared" si="60"/>
        <v>1.0218171775752554E-2</v>
      </c>
      <c r="H40" s="46">
        <f t="shared" si="60"/>
        <v>7.5673787764130628E-3</v>
      </c>
      <c r="I40" s="46">
        <f>+IFERROR(I38/I$21,"nm")</f>
        <v>6.7563886013185855E-3</v>
      </c>
      <c r="J40" s="46">
        <f t="shared" ref="J40:N40" si="61">+IFERROR(J38/J$21,"nm")</f>
        <v>9.7026604068857596E-3</v>
      </c>
      <c r="K40" s="46">
        <f t="shared" si="61"/>
        <v>9.7026604068857578E-3</v>
      </c>
      <c r="L40" s="46">
        <f t="shared" si="61"/>
        <v>9.7026604068857596E-3</v>
      </c>
      <c r="M40" s="46">
        <f t="shared" si="61"/>
        <v>9.7026604068857578E-3</v>
      </c>
      <c r="N40" s="46">
        <f t="shared" si="61"/>
        <v>9.7026604068857596E-3</v>
      </c>
    </row>
    <row r="41" spans="1:15" x14ac:dyDescent="0.2">
      <c r="A41" s="45" t="s">
        <v>140</v>
      </c>
      <c r="B41" s="46">
        <f t="shared" ref="B41:H41" si="62">+IFERROR(B38/B48,"nm")</f>
        <v>0.19145569620253164</v>
      </c>
      <c r="C41" s="46">
        <f t="shared" si="62"/>
        <v>0.17924528301886791</v>
      </c>
      <c r="D41" s="46">
        <f t="shared" si="62"/>
        <v>0.17094017094017094</v>
      </c>
      <c r="E41" s="46">
        <f t="shared" si="62"/>
        <v>0.18867924528301888</v>
      </c>
      <c r="F41" s="46">
        <f t="shared" si="62"/>
        <v>0.18304668304668303</v>
      </c>
      <c r="G41" s="46">
        <f t="shared" si="62"/>
        <v>0.22945736434108527</v>
      </c>
      <c r="H41" s="46">
        <f t="shared" si="62"/>
        <v>0.21069692058346839</v>
      </c>
      <c r="I41" s="46">
        <f>+IFERROR(I38/I48,"nm")</f>
        <v>0.19405320813771518</v>
      </c>
      <c r="J41" s="48">
        <f>+I41</f>
        <v>0.19405320813771518</v>
      </c>
      <c r="K41" s="48">
        <f t="shared" ref="K41:N41" si="63">+J41</f>
        <v>0.19405320813771518</v>
      </c>
      <c r="L41" s="48">
        <f t="shared" si="63"/>
        <v>0.19405320813771518</v>
      </c>
      <c r="M41" s="48">
        <f t="shared" si="63"/>
        <v>0.19405320813771518</v>
      </c>
      <c r="N41" s="48">
        <f t="shared" si="63"/>
        <v>0.19405320813771518</v>
      </c>
    </row>
    <row r="42" spans="1:15" x14ac:dyDescent="0.2">
      <c r="A42" s="9" t="s">
        <v>134</v>
      </c>
      <c r="B42" s="9">
        <f>Historicals!B138</f>
        <v>3645</v>
      </c>
      <c r="C42" s="9">
        <f>Historicals!C138</f>
        <v>3763</v>
      </c>
      <c r="D42" s="9">
        <f>Historicals!D138</f>
        <v>3875</v>
      </c>
      <c r="E42" s="9">
        <f>Historicals!E138</f>
        <v>3600</v>
      </c>
      <c r="F42" s="9">
        <f>Historicals!F138</f>
        <v>3925</v>
      </c>
      <c r="G42" s="9">
        <f>Historicals!G138</f>
        <v>2899</v>
      </c>
      <c r="H42" s="9">
        <f>Historicals!H138</f>
        <v>5089</v>
      </c>
      <c r="I42" s="9">
        <f>Historicals!I138</f>
        <v>5114</v>
      </c>
      <c r="J42" s="9">
        <f>+J35-J38</f>
        <v>6506.8390422535203</v>
      </c>
      <c r="K42" s="9">
        <f t="shared" ref="K42:N42" si="64">+K35-K38</f>
        <v>6785.2346623474177</v>
      </c>
      <c r="L42" s="9">
        <f t="shared" si="64"/>
        <v>7082.7331648938971</v>
      </c>
      <c r="M42" s="9">
        <f t="shared" si="64"/>
        <v>7401.7634853407144</v>
      </c>
      <c r="N42" s="9">
        <f t="shared" si="64"/>
        <v>7745.1838793041052</v>
      </c>
    </row>
    <row r="43" spans="1:15" x14ac:dyDescent="0.2">
      <c r="A43" s="45" t="s">
        <v>129</v>
      </c>
      <c r="B43" s="46" t="str">
        <f t="shared" ref="B43:H43" si="65">+IFERROR(B42/A42-1,"nm")</f>
        <v>nm</v>
      </c>
      <c r="C43" s="46">
        <f t="shared" si="65"/>
        <v>3.2373113854595292E-2</v>
      </c>
      <c r="D43" s="46">
        <f t="shared" si="65"/>
        <v>2.9763486579856391E-2</v>
      </c>
      <c r="E43" s="46">
        <f t="shared" si="65"/>
        <v>-7.096774193548383E-2</v>
      </c>
      <c r="F43" s="46">
        <f t="shared" si="65"/>
        <v>9.0277777777777679E-2</v>
      </c>
      <c r="G43" s="46">
        <f t="shared" si="65"/>
        <v>-0.26140127388535028</v>
      </c>
      <c r="H43" s="46">
        <f t="shared" si="65"/>
        <v>0.75543290789927564</v>
      </c>
      <c r="I43" s="46">
        <f>+IFERROR(I42/H42-1,"nm")</f>
        <v>4.9125564943997002E-3</v>
      </c>
      <c r="J43" s="46">
        <f t="shared" ref="J43:N43" si="66">+IFERROR(J42/I42-1,"nm")</f>
        <v>0.27235804502415339</v>
      </c>
      <c r="K43" s="46">
        <f t="shared" si="66"/>
        <v>4.2785078635890095E-2</v>
      </c>
      <c r="L43" s="46">
        <f t="shared" si="66"/>
        <v>4.3844983607915111E-2</v>
      </c>
      <c r="M43" s="46">
        <f t="shared" si="66"/>
        <v>4.5043391162625568E-2</v>
      </c>
      <c r="N43" s="46">
        <f t="shared" si="66"/>
        <v>4.6397104506721742E-2</v>
      </c>
    </row>
    <row r="44" spans="1:15" x14ac:dyDescent="0.2">
      <c r="A44" s="45" t="s">
        <v>131</v>
      </c>
      <c r="B44" s="46">
        <f t="shared" ref="B44:H44" si="67">+IFERROR(B42/B$21,"nm")</f>
        <v>0.26528384279475981</v>
      </c>
      <c r="C44" s="46">
        <f t="shared" si="67"/>
        <v>0.25487672717420751</v>
      </c>
      <c r="D44" s="46">
        <f t="shared" si="67"/>
        <v>0.25466614090431128</v>
      </c>
      <c r="E44" s="46">
        <f t="shared" si="67"/>
        <v>0.24234264557388085</v>
      </c>
      <c r="F44" s="46">
        <f t="shared" si="67"/>
        <v>0.2468242988303358</v>
      </c>
      <c r="G44" s="46">
        <f t="shared" si="67"/>
        <v>0.20015189174261253</v>
      </c>
      <c r="H44" s="46">
        <f t="shared" si="67"/>
        <v>0.29623377379358518</v>
      </c>
      <c r="I44" s="46">
        <f>+IFERROR(I42/I$21,"nm")</f>
        <v>0.27864654279954232</v>
      </c>
      <c r="J44" s="46">
        <f t="shared" ref="J44:N44" si="68">+IFERROR(J42/J$21,"nm")</f>
        <v>0.3402973395931142</v>
      </c>
      <c r="K44" s="46">
        <f t="shared" si="68"/>
        <v>0.3402973395931142</v>
      </c>
      <c r="L44" s="46">
        <f t="shared" si="68"/>
        <v>0.34029733959311426</v>
      </c>
      <c r="M44" s="46">
        <f t="shared" si="68"/>
        <v>0.3402973395931142</v>
      </c>
      <c r="N44" s="46">
        <f t="shared" si="68"/>
        <v>0.3402973395931142</v>
      </c>
    </row>
    <row r="45" spans="1:15" x14ac:dyDescent="0.2">
      <c r="A45" s="9" t="s">
        <v>135</v>
      </c>
      <c r="B45" s="9">
        <f>Historicals!B160</f>
        <v>294</v>
      </c>
      <c r="C45" s="9">
        <f>Historicals!C160</f>
        <v>242</v>
      </c>
      <c r="D45" s="9">
        <f>Historicals!D160</f>
        <v>223</v>
      </c>
      <c r="E45" s="9">
        <f>Historicals!E160</f>
        <v>196</v>
      </c>
      <c r="F45" s="9">
        <f>Historicals!F160</f>
        <v>117</v>
      </c>
      <c r="G45" s="9">
        <f>Historicals!G160</f>
        <v>110</v>
      </c>
      <c r="H45" s="9">
        <f>Historicals!H160</f>
        <v>98</v>
      </c>
      <c r="I45" s="9">
        <f>Historicals!I160</f>
        <v>146</v>
      </c>
      <c r="J45" s="47">
        <f>+J21*J47</f>
        <v>152.10983708385552</v>
      </c>
      <c r="K45" s="47">
        <f t="shared" ref="K45:N45" si="69">+K21*K47</f>
        <v>158.61786842478071</v>
      </c>
      <c r="L45" s="47">
        <f t="shared" si="69"/>
        <v>165.57246626578763</v>
      </c>
      <c r="M45" s="47">
        <f t="shared" si="69"/>
        <v>173.03041162955816</v>
      </c>
      <c r="N45" s="47">
        <f t="shared" si="69"/>
        <v>181.05852172077587</v>
      </c>
    </row>
    <row r="46" spans="1:15" x14ac:dyDescent="0.2">
      <c r="A46" s="45" t="s">
        <v>129</v>
      </c>
      <c r="B46" s="46" t="str">
        <f t="shared" ref="B46:H46" si="70">+IFERROR(B45/A45-1,"nm")</f>
        <v>nm</v>
      </c>
      <c r="C46" s="46">
        <f t="shared" si="70"/>
        <v>-0.1768707482993197</v>
      </c>
      <c r="D46" s="46">
        <f t="shared" si="70"/>
        <v>-7.8512396694214837E-2</v>
      </c>
      <c r="E46" s="46">
        <f t="shared" si="70"/>
        <v>-0.12107623318385652</v>
      </c>
      <c r="F46" s="46">
        <f t="shared" si="70"/>
        <v>-0.40306122448979587</v>
      </c>
      <c r="G46" s="46">
        <f t="shared" si="70"/>
        <v>-5.9829059829059839E-2</v>
      </c>
      <c r="H46" s="46">
        <f t="shared" si="70"/>
        <v>-0.10909090909090913</v>
      </c>
      <c r="I46" s="46">
        <f>+IFERROR(I45/H45-1,"nm")</f>
        <v>0.48979591836734704</v>
      </c>
      <c r="J46" s="46">
        <f t="shared" ref="J46:N46" si="71">+IFERROR(J45/I45-1,"nm")</f>
        <v>4.18481992044899E-2</v>
      </c>
      <c r="K46" s="46">
        <f t="shared" si="71"/>
        <v>4.2785078635890095E-2</v>
      </c>
      <c r="L46" s="46">
        <f t="shared" si="71"/>
        <v>4.3844983607914889E-2</v>
      </c>
      <c r="M46" s="46">
        <f t="shared" si="71"/>
        <v>4.504339116262579E-2</v>
      </c>
      <c r="N46" s="46">
        <f t="shared" si="71"/>
        <v>4.6397104506721965E-2</v>
      </c>
    </row>
    <row r="47" spans="1:15" x14ac:dyDescent="0.2">
      <c r="A47" s="45" t="s">
        <v>133</v>
      </c>
      <c r="B47" s="46">
        <f t="shared" ref="B47:H47" si="72">+IFERROR(B45/B$21,"nm")</f>
        <v>2.1397379912663755E-2</v>
      </c>
      <c r="C47" s="46">
        <f t="shared" si="72"/>
        <v>1.6391221891086428E-2</v>
      </c>
      <c r="D47" s="46">
        <f t="shared" si="72"/>
        <v>1.4655625657202945E-2</v>
      </c>
      <c r="E47" s="46">
        <f t="shared" si="72"/>
        <v>1.3194210703466847E-2</v>
      </c>
      <c r="F47" s="46">
        <f t="shared" si="72"/>
        <v>7.3575650861526856E-3</v>
      </c>
      <c r="G47" s="46">
        <f t="shared" si="72"/>
        <v>7.5945871306268989E-3</v>
      </c>
      <c r="H47" s="46">
        <f t="shared" si="72"/>
        <v>5.7046393852960009E-3</v>
      </c>
      <c r="I47" s="46">
        <f>+IFERROR(I45/I$21,"nm")</f>
        <v>7.9551027080041418E-3</v>
      </c>
      <c r="J47" s="48">
        <f>+I47</f>
        <v>7.9551027080041418E-3</v>
      </c>
      <c r="K47" s="48">
        <f t="shared" ref="K47:N47" si="73">+J47</f>
        <v>7.9551027080041418E-3</v>
      </c>
      <c r="L47" s="48">
        <f t="shared" si="73"/>
        <v>7.9551027080041418E-3</v>
      </c>
      <c r="M47" s="48">
        <f t="shared" si="73"/>
        <v>7.9551027080041418E-3</v>
      </c>
      <c r="N47" s="48">
        <f t="shared" si="73"/>
        <v>7.9551027080041418E-3</v>
      </c>
    </row>
    <row r="48" spans="1:15" x14ac:dyDescent="0.2">
      <c r="A48" s="9" t="s">
        <v>141</v>
      </c>
      <c r="B48" s="9">
        <f>Historicals!B149</f>
        <v>632</v>
      </c>
      <c r="C48" s="9">
        <f>Historicals!C149</f>
        <v>742</v>
      </c>
      <c r="D48" s="9">
        <f>Historicals!D149</f>
        <v>819</v>
      </c>
      <c r="E48" s="9">
        <f>Historicals!E149</f>
        <v>848</v>
      </c>
      <c r="F48" s="9">
        <f>Historicals!F149</f>
        <v>814</v>
      </c>
      <c r="G48" s="9">
        <f>Historicals!G149</f>
        <v>645</v>
      </c>
      <c r="H48" s="9">
        <f>Historicals!H149</f>
        <v>617</v>
      </c>
      <c r="I48" s="9">
        <f>Historicals!I149</f>
        <v>639</v>
      </c>
      <c r="J48" s="47">
        <f>+J21*J50</f>
        <v>956.05200000000013</v>
      </c>
      <c r="K48" s="47">
        <f t="shared" ref="K48:N48" si="74">+K21*K50</f>
        <v>996.95676000000003</v>
      </c>
      <c r="L48" s="47">
        <f t="shared" si="74"/>
        <v>1040.6683128000002</v>
      </c>
      <c r="M48" s="47">
        <f t="shared" si="74"/>
        <v>1087.5435426840002</v>
      </c>
      <c r="N48" s="47">
        <f t="shared" si="74"/>
        <v>1138.0024140895202</v>
      </c>
    </row>
    <row r="49" spans="1:15" x14ac:dyDescent="0.2">
      <c r="A49" s="45" t="s">
        <v>129</v>
      </c>
      <c r="B49" s="46" t="str">
        <f t="shared" ref="B49:H49" si="75">+IFERROR(B48/A48-1,"nm")</f>
        <v>nm</v>
      </c>
      <c r="C49" s="46">
        <f t="shared" si="75"/>
        <v>0.17405063291139244</v>
      </c>
      <c r="D49" s="46">
        <f t="shared" si="75"/>
        <v>0.10377358490566047</v>
      </c>
      <c r="E49" s="46">
        <f t="shared" si="75"/>
        <v>3.5409035409035505E-2</v>
      </c>
      <c r="F49" s="46">
        <f t="shared" si="75"/>
        <v>-4.0094339622641528E-2</v>
      </c>
      <c r="G49" s="46">
        <f t="shared" si="75"/>
        <v>-0.20761670761670759</v>
      </c>
      <c r="H49" s="46">
        <f t="shared" si="75"/>
        <v>-4.3410852713178349E-2</v>
      </c>
      <c r="I49" s="46">
        <f>+IFERROR(I48/H48-1,"nm")</f>
        <v>3.5656401944894611E-2</v>
      </c>
      <c r="J49" s="46">
        <f>+J50+J51</f>
        <v>0.05</v>
      </c>
      <c r="K49" s="46">
        <f t="shared" ref="K49:N49" si="76">+K50+K51</f>
        <v>0.05</v>
      </c>
      <c r="L49" s="46">
        <f t="shared" si="76"/>
        <v>0.05</v>
      </c>
      <c r="M49" s="46">
        <f t="shared" si="76"/>
        <v>0.05</v>
      </c>
      <c r="N49" s="46">
        <f t="shared" si="76"/>
        <v>0.05</v>
      </c>
    </row>
    <row r="50" spans="1:15" x14ac:dyDescent="0.2">
      <c r="A50" s="45" t="s">
        <v>133</v>
      </c>
      <c r="B50" s="46">
        <f t="shared" ref="B50:H50" si="77">+IFERROR(B48/B$21,"nm")</f>
        <v>4.599708879184862E-2</v>
      </c>
      <c r="C50" s="46">
        <f t="shared" si="77"/>
        <v>5.0257382823083174E-2</v>
      </c>
      <c r="D50" s="46">
        <f t="shared" si="77"/>
        <v>5.3824921135646686E-2</v>
      </c>
      <c r="E50" s="46">
        <f t="shared" si="77"/>
        <v>5.7085156512958597E-2</v>
      </c>
      <c r="F50" s="46">
        <f t="shared" si="77"/>
        <v>5.1188529744686205E-2</v>
      </c>
      <c r="G50" s="46">
        <f t="shared" si="77"/>
        <v>4.4531897265948632E-2</v>
      </c>
      <c r="H50" s="46">
        <f t="shared" si="77"/>
        <v>3.5915943884975841E-2</v>
      </c>
      <c r="I50" s="46">
        <f>+IFERROR(I48/I$21,"nm")</f>
        <v>3.4817196098730456E-2</v>
      </c>
      <c r="J50" s="48">
        <v>0.05</v>
      </c>
      <c r="K50" s="48">
        <f t="shared" ref="K50:N50" si="78">+J50</f>
        <v>0.05</v>
      </c>
      <c r="L50" s="48">
        <f t="shared" si="78"/>
        <v>0.05</v>
      </c>
      <c r="M50" s="48">
        <f t="shared" si="78"/>
        <v>0.05</v>
      </c>
      <c r="N50" s="48">
        <f t="shared" si="78"/>
        <v>0.05</v>
      </c>
    </row>
    <row r="51" spans="1:15" x14ac:dyDescent="0.2">
      <c r="A51" s="42" t="s">
        <v>209</v>
      </c>
      <c r="B51" s="42"/>
      <c r="C51" s="42"/>
      <c r="D51" s="42"/>
      <c r="E51" s="42"/>
      <c r="F51" s="42"/>
      <c r="G51" s="42"/>
      <c r="H51" s="42"/>
      <c r="I51" s="42"/>
      <c r="J51" s="38"/>
      <c r="K51" s="38"/>
      <c r="L51" s="38"/>
      <c r="M51" s="38"/>
      <c r="N51" s="38"/>
    </row>
    <row r="52" spans="1:15" x14ac:dyDescent="0.2">
      <c r="A52" s="58" t="s">
        <v>136</v>
      </c>
      <c r="B52">
        <f>Historicals!B115</f>
        <v>0</v>
      </c>
      <c r="C52">
        <f>Historicals!C115</f>
        <v>0</v>
      </c>
      <c r="D52">
        <f>Historicals!D115</f>
        <v>7970</v>
      </c>
      <c r="E52">
        <f>Historicals!E115</f>
        <v>9242</v>
      </c>
      <c r="F52">
        <f>Historicals!F115</f>
        <v>9812</v>
      </c>
      <c r="G52">
        <f>Historicals!G115</f>
        <v>9347</v>
      </c>
      <c r="H52">
        <f>Historicals!H115</f>
        <v>11456</v>
      </c>
      <c r="I52">
        <f>Historicals!I115</f>
        <v>12479</v>
      </c>
      <c r="J52" s="58">
        <f>+SUM(J54+J58+J62)</f>
        <v>14605.399999999998</v>
      </c>
      <c r="K52" s="58">
        <f t="shared" ref="K52:N52" si="79">+SUM(K54+K58+K62)</f>
        <v>17101.669999999998</v>
      </c>
      <c r="L52" s="58">
        <f t="shared" si="79"/>
        <v>20033.472499999996</v>
      </c>
      <c r="M52" s="58">
        <f t="shared" si="79"/>
        <v>23478.355774999993</v>
      </c>
      <c r="N52" s="58">
        <f t="shared" si="79"/>
        <v>27527.94402124999</v>
      </c>
    </row>
    <row r="53" spans="1:15" x14ac:dyDescent="0.2">
      <c r="A53" s="58" t="s">
        <v>129</v>
      </c>
      <c r="B53" s="59" t="str">
        <f t="shared" ref="B53:H53" si="80">+IFERROR(B52/A52-1,"nm")</f>
        <v>nm</v>
      </c>
      <c r="C53" s="59" t="str">
        <f t="shared" si="80"/>
        <v>nm</v>
      </c>
      <c r="D53" s="59" t="str">
        <f t="shared" si="80"/>
        <v>nm</v>
      </c>
      <c r="E53" s="59">
        <f t="shared" si="80"/>
        <v>0.15959849435382689</v>
      </c>
      <c r="F53" s="59">
        <f t="shared" si="80"/>
        <v>6.1674962129409261E-2</v>
      </c>
      <c r="G53" s="59">
        <f t="shared" si="80"/>
        <v>-4.7390949857317621E-2</v>
      </c>
      <c r="H53" s="59">
        <f t="shared" si="80"/>
        <v>0.22563389322777372</v>
      </c>
      <c r="I53" s="59">
        <f>+IFERROR(I52/H52-1,"nm")</f>
        <v>8.9298184357541999E-2</v>
      </c>
      <c r="J53" s="59">
        <f t="shared" ref="J53:N53" si="81">+IFERROR(J52/I52-1,"nm")</f>
        <v>0.17039826909207445</v>
      </c>
      <c r="K53" s="59">
        <f t="shared" si="81"/>
        <v>0.17091418242567813</v>
      </c>
      <c r="L53" s="59">
        <f t="shared" si="81"/>
        <v>0.17143369624136118</v>
      </c>
      <c r="M53" s="59">
        <f t="shared" si="81"/>
        <v>0.17195637326479463</v>
      </c>
      <c r="N53" s="59">
        <f t="shared" si="81"/>
        <v>0.17248176512266866</v>
      </c>
    </row>
    <row r="54" spans="1:15" x14ac:dyDescent="0.2">
      <c r="A54" s="58" t="s">
        <v>113</v>
      </c>
      <c r="B54" s="58">
        <f>Historicals!B116</f>
        <v>0</v>
      </c>
      <c r="C54" s="58">
        <f>Historicals!C116</f>
        <v>0</v>
      </c>
      <c r="D54" s="58">
        <f>Historicals!D116</f>
        <v>5192</v>
      </c>
      <c r="E54" s="58">
        <f>Historicals!E116</f>
        <v>5875</v>
      </c>
      <c r="F54" s="58">
        <f>Historicals!F116</f>
        <v>6293</v>
      </c>
      <c r="G54" s="58">
        <f>Historicals!G116</f>
        <v>5892</v>
      </c>
      <c r="H54" s="58">
        <f>Historicals!H116</f>
        <v>6970</v>
      </c>
      <c r="I54" s="58">
        <f>Historicals!I116</f>
        <v>7388</v>
      </c>
      <c r="J54" s="58">
        <f>+I54*(1+J55)</f>
        <v>8496.1999999999989</v>
      </c>
      <c r="K54" s="58">
        <f t="shared" ref="K54:N54" si="82">+J54*(1+K55)</f>
        <v>9770.6299999999974</v>
      </c>
      <c r="L54" s="58">
        <f t="shared" si="82"/>
        <v>11236.224499999997</v>
      </c>
      <c r="M54" s="58">
        <f t="shared" si="82"/>
        <v>12921.658174999995</v>
      </c>
      <c r="N54" s="58">
        <f t="shared" si="82"/>
        <v>14859.906901249993</v>
      </c>
    </row>
    <row r="55" spans="1:15" x14ac:dyDescent="0.2">
      <c r="A55" s="58" t="s">
        <v>129</v>
      </c>
      <c r="B55" s="59" t="str">
        <f t="shared" ref="B55:H55" si="83">+IFERROR(B54/A54-1,"nm")</f>
        <v>nm</v>
      </c>
      <c r="C55" s="59" t="str">
        <f t="shared" si="83"/>
        <v>nm</v>
      </c>
      <c r="D55" s="59" t="str">
        <f t="shared" si="83"/>
        <v>nm</v>
      </c>
      <c r="E55" s="59">
        <f t="shared" si="83"/>
        <v>0.1315485362095532</v>
      </c>
      <c r="F55" s="59">
        <f t="shared" si="83"/>
        <v>7.1148936170212673E-2</v>
      </c>
      <c r="G55" s="59">
        <f t="shared" si="83"/>
        <v>-6.3721595423486432E-2</v>
      </c>
      <c r="H55" s="59">
        <f t="shared" si="83"/>
        <v>0.18295994568907004</v>
      </c>
      <c r="I55" s="59">
        <f>+IFERROR(I54/H54-1,"nm")</f>
        <v>5.9971305595408975E-2</v>
      </c>
      <c r="J55" s="59">
        <f>+J56+J57</f>
        <v>0.15</v>
      </c>
      <c r="K55" s="59">
        <f t="shared" ref="K55:N55" si="84">+K56+K57</f>
        <v>0.15</v>
      </c>
      <c r="L55" s="59">
        <f t="shared" si="84"/>
        <v>0.15</v>
      </c>
      <c r="M55" s="59">
        <f t="shared" si="84"/>
        <v>0.15</v>
      </c>
      <c r="N55" s="59">
        <f t="shared" si="84"/>
        <v>0.15</v>
      </c>
    </row>
    <row r="56" spans="1:15" x14ac:dyDescent="0.2">
      <c r="A56" s="58" t="s">
        <v>137</v>
      </c>
      <c r="B56" s="59">
        <f>Historicals!B188</f>
        <v>0</v>
      </c>
      <c r="C56" s="59">
        <f>Historicals!C188</f>
        <v>0</v>
      </c>
      <c r="D56" s="59">
        <f>Historicals!D188</f>
        <v>0</v>
      </c>
      <c r="E56" s="59">
        <f>Historicals!E188</f>
        <v>0.06</v>
      </c>
      <c r="F56" s="59">
        <f>Historicals!F188</f>
        <v>0.12</v>
      </c>
      <c r="G56" s="59">
        <f>Historicals!G188</f>
        <v>0.03</v>
      </c>
      <c r="H56" s="59">
        <f>Historicals!H188</f>
        <v>0</v>
      </c>
      <c r="I56" s="59">
        <f>Historicals!I188</f>
        <v>0.09</v>
      </c>
      <c r="J56" s="59">
        <v>0.15</v>
      </c>
      <c r="K56" s="59">
        <f t="shared" ref="K56:N57" si="85">+J56</f>
        <v>0.15</v>
      </c>
      <c r="L56" s="59">
        <f t="shared" si="85"/>
        <v>0.15</v>
      </c>
      <c r="M56" s="59">
        <f t="shared" si="85"/>
        <v>0.15</v>
      </c>
      <c r="N56" s="59">
        <f t="shared" si="85"/>
        <v>0.15</v>
      </c>
      <c r="O56" t="s">
        <v>216</v>
      </c>
    </row>
    <row r="57" spans="1:15" x14ac:dyDescent="0.2">
      <c r="A57" s="58" t="s">
        <v>138</v>
      </c>
      <c r="B57" s="59" t="str">
        <f t="shared" ref="B57:H57" si="86">+IFERROR(B55-B56,"nm")</f>
        <v>nm</v>
      </c>
      <c r="C57" s="59" t="str">
        <f t="shared" si="86"/>
        <v>nm</v>
      </c>
      <c r="D57" s="59" t="str">
        <f t="shared" si="86"/>
        <v>nm</v>
      </c>
      <c r="E57" s="59">
        <f t="shared" si="86"/>
        <v>7.1548536209553204E-2</v>
      </c>
      <c r="F57" s="59">
        <f t="shared" si="86"/>
        <v>-4.8851063829787322E-2</v>
      </c>
      <c r="G57" s="59">
        <f t="shared" si="86"/>
        <v>-9.3721595423486431E-2</v>
      </c>
      <c r="H57" s="59">
        <f t="shared" si="86"/>
        <v>0.18295994568907004</v>
      </c>
      <c r="I57" s="59">
        <f>+IFERROR(I55-I56,"nm")</f>
        <v>-3.0028694404591022E-2</v>
      </c>
      <c r="J57" s="59">
        <v>0</v>
      </c>
      <c r="K57" s="59">
        <f t="shared" si="85"/>
        <v>0</v>
      </c>
      <c r="L57" s="59">
        <f t="shared" si="85"/>
        <v>0</v>
      </c>
      <c r="M57" s="59">
        <f t="shared" si="85"/>
        <v>0</v>
      </c>
      <c r="N57" s="59">
        <f t="shared" si="85"/>
        <v>0</v>
      </c>
    </row>
    <row r="58" spans="1:15" x14ac:dyDescent="0.2">
      <c r="A58" s="58" t="s">
        <v>114</v>
      </c>
      <c r="B58" s="58">
        <f>Historicals!B117</f>
        <v>0</v>
      </c>
      <c r="C58" s="58">
        <f>Historicals!C117</f>
        <v>0</v>
      </c>
      <c r="D58" s="58">
        <f>Historicals!D117</f>
        <v>2395</v>
      </c>
      <c r="E58" s="58">
        <f>Historicals!E117</f>
        <v>2940</v>
      </c>
      <c r="F58" s="58">
        <f>Historicals!F117</f>
        <v>3087</v>
      </c>
      <c r="G58" s="58">
        <f>Historicals!G117</f>
        <v>3053</v>
      </c>
      <c r="H58" s="58">
        <f>Historicals!H117</f>
        <v>3996</v>
      </c>
      <c r="I58" s="58">
        <f>Historicals!I117</f>
        <v>4527</v>
      </c>
      <c r="J58" s="58">
        <f>+I58*(1+J59)</f>
        <v>5432.4</v>
      </c>
      <c r="K58" s="58">
        <f t="shared" ref="K58:N58" si="87">+J58*(1+K59)</f>
        <v>6518.8799999999992</v>
      </c>
      <c r="L58" s="58">
        <f t="shared" si="87"/>
        <v>7822.655999999999</v>
      </c>
      <c r="M58" s="58">
        <f t="shared" si="87"/>
        <v>9387.1871999999985</v>
      </c>
      <c r="N58" s="58">
        <f t="shared" si="87"/>
        <v>11264.624639999998</v>
      </c>
    </row>
    <row r="59" spans="1:15" x14ac:dyDescent="0.2">
      <c r="A59" s="58" t="s">
        <v>129</v>
      </c>
      <c r="B59" s="59" t="str">
        <f t="shared" ref="B59:H59" si="88">+IFERROR(B58/A58-1,"nm")</f>
        <v>nm</v>
      </c>
      <c r="C59" s="59" t="str">
        <f t="shared" si="88"/>
        <v>nm</v>
      </c>
      <c r="D59" s="59" t="str">
        <f t="shared" si="88"/>
        <v>nm</v>
      </c>
      <c r="E59" s="59">
        <f t="shared" si="88"/>
        <v>0.22755741127348639</v>
      </c>
      <c r="F59" s="59">
        <f t="shared" si="88"/>
        <v>5.0000000000000044E-2</v>
      </c>
      <c r="G59" s="59">
        <f t="shared" si="88"/>
        <v>-1.1013929381276322E-2</v>
      </c>
      <c r="H59" s="59">
        <f t="shared" si="88"/>
        <v>0.30887651490337364</v>
      </c>
      <c r="I59" s="59">
        <f>+IFERROR(I58/H58-1,"nm")</f>
        <v>0.13288288288288297</v>
      </c>
      <c r="J59" s="59">
        <f>+J60+J61</f>
        <v>0.2</v>
      </c>
      <c r="K59" s="59">
        <f t="shared" ref="K59:N59" si="89">+K60+K61</f>
        <v>0.2</v>
      </c>
      <c r="L59" s="59">
        <f t="shared" si="89"/>
        <v>0.2</v>
      </c>
      <c r="M59" s="59">
        <f t="shared" si="89"/>
        <v>0.2</v>
      </c>
      <c r="N59" s="59">
        <f t="shared" si="89"/>
        <v>0.2</v>
      </c>
      <c r="O59" s="59"/>
    </row>
    <row r="60" spans="1:15" x14ac:dyDescent="0.2">
      <c r="A60" s="58" t="s">
        <v>137</v>
      </c>
      <c r="B60" s="59">
        <f>Historicals!B189</f>
        <v>0</v>
      </c>
      <c r="C60" s="59">
        <f>Historicals!C189</f>
        <v>0</v>
      </c>
      <c r="D60" s="59">
        <f>Historicals!D189</f>
        <v>0</v>
      </c>
      <c r="E60" s="59">
        <f>Historicals!E189</f>
        <v>0.16</v>
      </c>
      <c r="F60" s="59">
        <f>Historicals!F189</f>
        <v>0.09</v>
      </c>
      <c r="G60" s="59">
        <f>Historicals!G189</f>
        <v>0.02</v>
      </c>
      <c r="H60" s="59">
        <f>Historicals!H189</f>
        <v>0</v>
      </c>
      <c r="I60" s="59">
        <f>Historicals!I189</f>
        <v>0.16</v>
      </c>
      <c r="J60" s="59">
        <v>0.2</v>
      </c>
      <c r="K60" s="59">
        <f t="shared" ref="K60:N61" si="90">+J60</f>
        <v>0.2</v>
      </c>
      <c r="L60" s="59">
        <f t="shared" si="90"/>
        <v>0.2</v>
      </c>
      <c r="M60" s="59">
        <f t="shared" si="90"/>
        <v>0.2</v>
      </c>
      <c r="N60" s="59">
        <f t="shared" si="90"/>
        <v>0.2</v>
      </c>
      <c r="O60" t="s">
        <v>216</v>
      </c>
    </row>
    <row r="61" spans="1:15" x14ac:dyDescent="0.2">
      <c r="A61" s="58" t="s">
        <v>138</v>
      </c>
      <c r="B61" s="59" t="str">
        <f t="shared" ref="B61:H61" si="91">+IFERROR(B59-B60,"nm")</f>
        <v>nm</v>
      </c>
      <c r="C61" s="59" t="str">
        <f t="shared" si="91"/>
        <v>nm</v>
      </c>
      <c r="D61" s="59" t="str">
        <f t="shared" si="91"/>
        <v>nm</v>
      </c>
      <c r="E61" s="59">
        <f t="shared" si="91"/>
        <v>6.7557411273486384E-2</v>
      </c>
      <c r="F61" s="59">
        <f t="shared" si="91"/>
        <v>-3.9999999999999952E-2</v>
      </c>
      <c r="G61" s="59">
        <f t="shared" si="91"/>
        <v>-3.1013929381276322E-2</v>
      </c>
      <c r="H61" s="59">
        <f t="shared" si="91"/>
        <v>0.30887651490337364</v>
      </c>
      <c r="I61" s="59">
        <f>+IFERROR(I59-I60,"nm")</f>
        <v>-2.7117117117117034E-2</v>
      </c>
      <c r="J61" s="59">
        <v>0</v>
      </c>
      <c r="K61" s="59">
        <f t="shared" si="90"/>
        <v>0</v>
      </c>
      <c r="L61" s="59">
        <f t="shared" si="90"/>
        <v>0</v>
      </c>
      <c r="M61" s="59">
        <f t="shared" si="90"/>
        <v>0</v>
      </c>
      <c r="N61" s="59">
        <f t="shared" si="90"/>
        <v>0</v>
      </c>
    </row>
    <row r="62" spans="1:15" x14ac:dyDescent="0.2">
      <c r="A62" s="58" t="s">
        <v>115</v>
      </c>
      <c r="B62" s="58">
        <f>Historicals!B118</f>
        <v>0</v>
      </c>
      <c r="C62" s="58">
        <f>Historicals!C118</f>
        <v>0</v>
      </c>
      <c r="D62" s="58">
        <f>Historicals!D118</f>
        <v>383</v>
      </c>
      <c r="E62" s="58">
        <f>Historicals!E118</f>
        <v>427</v>
      </c>
      <c r="F62" s="58">
        <f>Historicals!F118</f>
        <v>432</v>
      </c>
      <c r="G62" s="58">
        <f>Historicals!G118</f>
        <v>402</v>
      </c>
      <c r="H62" s="58">
        <f>Historicals!H118</f>
        <v>490</v>
      </c>
      <c r="I62" s="58">
        <f>Historicals!I118</f>
        <v>564</v>
      </c>
      <c r="J62" s="58">
        <f>+I62*(1+J63)</f>
        <v>676.8</v>
      </c>
      <c r="K62" s="58">
        <f t="shared" ref="K62:N62" si="92">+J62*(1+K63)</f>
        <v>812.16</v>
      </c>
      <c r="L62" s="58">
        <f t="shared" si="92"/>
        <v>974.59199999999987</v>
      </c>
      <c r="M62" s="58">
        <f t="shared" si="92"/>
        <v>1169.5103999999999</v>
      </c>
      <c r="N62" s="58">
        <f t="shared" si="92"/>
        <v>1403.4124799999997</v>
      </c>
    </row>
    <row r="63" spans="1:15" x14ac:dyDescent="0.2">
      <c r="A63" s="58" t="s">
        <v>129</v>
      </c>
      <c r="B63" s="59" t="str">
        <f t="shared" ref="B63:H63" si="93">+IFERROR(B62/A62-1,"nm")</f>
        <v>nm</v>
      </c>
      <c r="C63" s="59" t="str">
        <f t="shared" si="93"/>
        <v>nm</v>
      </c>
      <c r="D63" s="59" t="str">
        <f t="shared" si="93"/>
        <v>nm</v>
      </c>
      <c r="E63" s="59">
        <f t="shared" si="93"/>
        <v>0.11488250652741505</v>
      </c>
      <c r="F63" s="59">
        <f t="shared" si="93"/>
        <v>1.1709601873536313E-2</v>
      </c>
      <c r="G63" s="59">
        <f t="shared" si="93"/>
        <v>-6.944444444444442E-2</v>
      </c>
      <c r="H63" s="59">
        <f t="shared" si="93"/>
        <v>0.21890547263681581</v>
      </c>
      <c r="I63" s="59">
        <f>+IFERROR(I62/H62-1,"nm")</f>
        <v>0.15102040816326534</v>
      </c>
      <c r="J63" s="59">
        <f>+J64+J65</f>
        <v>0.2</v>
      </c>
      <c r="K63" s="59">
        <f t="shared" ref="K63:N63" si="94">+K64+K65</f>
        <v>0.2</v>
      </c>
      <c r="L63" s="59">
        <f t="shared" si="94"/>
        <v>0.2</v>
      </c>
      <c r="M63" s="59">
        <f t="shared" si="94"/>
        <v>0.2</v>
      </c>
      <c r="N63" s="59">
        <f t="shared" si="94"/>
        <v>0.2</v>
      </c>
    </row>
    <row r="64" spans="1:15" x14ac:dyDescent="0.2">
      <c r="A64" s="58" t="s">
        <v>137</v>
      </c>
      <c r="B64" s="59">
        <f>Historicals!B190</f>
        <v>0</v>
      </c>
      <c r="C64" s="59">
        <f>Historicals!C190</f>
        <v>0</v>
      </c>
      <c r="D64" s="59">
        <f>Historicals!D190</f>
        <v>0</v>
      </c>
      <c r="E64" s="59">
        <f>Historicals!E190</f>
        <v>0.06</v>
      </c>
      <c r="F64" s="59">
        <f>Historicals!F190</f>
        <v>0.05</v>
      </c>
      <c r="G64" s="59">
        <f>Historicals!G190</f>
        <v>0.03</v>
      </c>
      <c r="H64" s="59">
        <f>Historicals!H190</f>
        <v>0</v>
      </c>
      <c r="I64" s="59">
        <f>Historicals!I190</f>
        <v>0.17</v>
      </c>
      <c r="J64" s="59">
        <v>0.2</v>
      </c>
      <c r="K64" s="59">
        <f t="shared" ref="K64:N65" si="95">+J64</f>
        <v>0.2</v>
      </c>
      <c r="L64" s="59">
        <f t="shared" si="95"/>
        <v>0.2</v>
      </c>
      <c r="M64" s="59">
        <f t="shared" si="95"/>
        <v>0.2</v>
      </c>
      <c r="N64" s="59">
        <f t="shared" si="95"/>
        <v>0.2</v>
      </c>
      <c r="O64" t="s">
        <v>217</v>
      </c>
    </row>
    <row r="65" spans="1:15" x14ac:dyDescent="0.2">
      <c r="A65" s="58" t="s">
        <v>138</v>
      </c>
      <c r="B65" s="59" t="str">
        <f t="shared" ref="B65:H65" si="96">+IFERROR(B63-B64,"nm")</f>
        <v>nm</v>
      </c>
      <c r="C65" s="59" t="str">
        <f t="shared" si="96"/>
        <v>nm</v>
      </c>
      <c r="D65" s="59" t="str">
        <f t="shared" si="96"/>
        <v>nm</v>
      </c>
      <c r="E65" s="59">
        <f t="shared" si="96"/>
        <v>5.4882506527415054E-2</v>
      </c>
      <c r="F65" s="59">
        <f t="shared" si="96"/>
        <v>-3.829039812646369E-2</v>
      </c>
      <c r="G65" s="59">
        <f t="shared" si="96"/>
        <v>-9.9444444444444419E-2</v>
      </c>
      <c r="H65" s="59">
        <f t="shared" si="96"/>
        <v>0.21890547263681581</v>
      </c>
      <c r="I65" s="59">
        <f>+IFERROR(I63-I64,"nm")</f>
        <v>-1.8979591836734672E-2</v>
      </c>
      <c r="J65" s="59">
        <v>0</v>
      </c>
      <c r="K65" s="59">
        <f t="shared" si="95"/>
        <v>0</v>
      </c>
      <c r="L65" s="59">
        <f t="shared" si="95"/>
        <v>0</v>
      </c>
      <c r="M65" s="59">
        <f t="shared" si="95"/>
        <v>0</v>
      </c>
      <c r="N65" s="59">
        <f t="shared" si="95"/>
        <v>0</v>
      </c>
    </row>
    <row r="66" spans="1:15" x14ac:dyDescent="0.2">
      <c r="A66" s="58" t="s">
        <v>130</v>
      </c>
      <c r="B66" s="58">
        <f>+B73+B69</f>
        <v>0</v>
      </c>
      <c r="C66" s="58">
        <f t="shared" ref="C66:H66" si="97">+C73+C69</f>
        <v>85</v>
      </c>
      <c r="D66" s="58">
        <f t="shared" si="97"/>
        <v>1613</v>
      </c>
      <c r="E66" s="58">
        <f t="shared" si="97"/>
        <v>1703</v>
      </c>
      <c r="F66" s="58">
        <f t="shared" si="97"/>
        <v>2106</v>
      </c>
      <c r="G66" s="58">
        <f t="shared" si="97"/>
        <v>1673</v>
      </c>
      <c r="H66" s="58">
        <f t="shared" si="97"/>
        <v>2571</v>
      </c>
      <c r="I66" s="58">
        <f>+I73+I69</f>
        <v>3427</v>
      </c>
      <c r="J66" s="58">
        <f>+J52*J68</f>
        <v>4381.619999999999</v>
      </c>
      <c r="K66" s="58">
        <f t="shared" ref="K66:N66" si="98">+K52*K68</f>
        <v>5130.5009999999993</v>
      </c>
      <c r="L66" s="58">
        <f t="shared" si="98"/>
        <v>6010.0417499999985</v>
      </c>
      <c r="M66" s="58">
        <f t="shared" si="98"/>
        <v>7043.5067324999973</v>
      </c>
      <c r="N66" s="58">
        <f t="shared" si="98"/>
        <v>8258.383206374996</v>
      </c>
      <c r="O66" t="s">
        <v>221</v>
      </c>
    </row>
    <row r="67" spans="1:15" x14ac:dyDescent="0.2">
      <c r="A67" s="58" t="s">
        <v>129</v>
      </c>
      <c r="B67" s="59" t="str">
        <f t="shared" ref="B67:H67" si="99">+IFERROR(B66/A66-1,"nm")</f>
        <v>nm</v>
      </c>
      <c r="C67" s="59" t="str">
        <f t="shared" si="99"/>
        <v>nm</v>
      </c>
      <c r="D67" s="59">
        <f t="shared" si="99"/>
        <v>17.976470588235294</v>
      </c>
      <c r="E67" s="59">
        <f t="shared" si="99"/>
        <v>5.5796652200867936E-2</v>
      </c>
      <c r="F67" s="59">
        <f t="shared" si="99"/>
        <v>0.23664122137404586</v>
      </c>
      <c r="G67" s="59">
        <f t="shared" si="99"/>
        <v>-0.20560303893637222</v>
      </c>
      <c r="H67" s="59">
        <f t="shared" si="99"/>
        <v>0.53676031081888831</v>
      </c>
      <c r="I67" s="59">
        <f>+IFERROR(I66/H66-1,"nm")</f>
        <v>0.33294437961882539</v>
      </c>
      <c r="J67" s="59">
        <f t="shared" ref="J67:N67" si="100">+IFERROR(J66/I66-1,"nm")</f>
        <v>0.27855850598190801</v>
      </c>
      <c r="K67" s="59">
        <f t="shared" si="100"/>
        <v>0.17091418242567835</v>
      </c>
      <c r="L67" s="59">
        <f t="shared" si="100"/>
        <v>0.17143369624136118</v>
      </c>
      <c r="M67" s="59">
        <f t="shared" si="100"/>
        <v>0.17195637326479463</v>
      </c>
      <c r="N67" s="59">
        <f t="shared" si="100"/>
        <v>0.17248176512266844</v>
      </c>
      <c r="O67" t="s">
        <v>222</v>
      </c>
    </row>
    <row r="68" spans="1:15" x14ac:dyDescent="0.2">
      <c r="A68" s="58" t="s">
        <v>131</v>
      </c>
      <c r="B68" s="59" t="str">
        <f t="shared" ref="B68:H68" si="101">+IFERROR(B66/B$52,"nm")</f>
        <v>nm</v>
      </c>
      <c r="C68" s="59" t="str">
        <f t="shared" si="101"/>
        <v>nm</v>
      </c>
      <c r="D68" s="59">
        <f t="shared" si="101"/>
        <v>0.20238393977415309</v>
      </c>
      <c r="E68" s="59">
        <f t="shared" si="101"/>
        <v>0.18426747457260334</v>
      </c>
      <c r="F68" s="59">
        <f t="shared" si="101"/>
        <v>0.21463514064410924</v>
      </c>
      <c r="G68" s="59">
        <f t="shared" si="101"/>
        <v>0.17898791055953783</v>
      </c>
      <c r="H68" s="59">
        <f t="shared" si="101"/>
        <v>0.22442388268156424</v>
      </c>
      <c r="I68" s="59">
        <f>+IFERROR(I66/I$52,"nm")</f>
        <v>0.27462136389133746</v>
      </c>
      <c r="J68" s="59">
        <v>0.3</v>
      </c>
      <c r="K68" s="59">
        <f t="shared" ref="K68:N68" si="102">+J68</f>
        <v>0.3</v>
      </c>
      <c r="L68" s="59">
        <f t="shared" si="102"/>
        <v>0.3</v>
      </c>
      <c r="M68" s="59">
        <f t="shared" si="102"/>
        <v>0.3</v>
      </c>
      <c r="N68" s="59">
        <f t="shared" si="102"/>
        <v>0.3</v>
      </c>
    </row>
    <row r="69" spans="1:15" x14ac:dyDescent="0.2">
      <c r="A69" s="58" t="s">
        <v>132</v>
      </c>
      <c r="B69" s="58">
        <f>Historicals!B172</f>
        <v>0</v>
      </c>
      <c r="C69" s="58">
        <f>Historicals!C172</f>
        <v>85</v>
      </c>
      <c r="D69" s="58">
        <f>Historicals!D172</f>
        <v>106</v>
      </c>
      <c r="E69" s="58">
        <f>Historicals!E172</f>
        <v>116</v>
      </c>
      <c r="F69" s="58">
        <f>Historicals!F172</f>
        <v>111</v>
      </c>
      <c r="G69" s="58">
        <f>Historicals!G172</f>
        <v>132</v>
      </c>
      <c r="H69" s="58">
        <f>Historicals!H172</f>
        <v>136</v>
      </c>
      <c r="I69" s="58">
        <f>Historicals!I172</f>
        <v>134</v>
      </c>
      <c r="J69" s="58">
        <f>+J72*J79</f>
        <v>191.4577434782608</v>
      </c>
      <c r="K69" s="58">
        <f t="shared" ref="K69:N69" si="103">+K72*K79</f>
        <v>224.18058717391301</v>
      </c>
      <c r="L69" s="58">
        <f t="shared" si="103"/>
        <v>262.61269385869559</v>
      </c>
      <c r="M69" s="58">
        <f t="shared" si="103"/>
        <v>307.77062026793465</v>
      </c>
      <c r="N69" s="58">
        <f t="shared" si="103"/>
        <v>360.85544010464656</v>
      </c>
      <c r="O69" t="s">
        <v>220</v>
      </c>
    </row>
    <row r="70" spans="1:15" x14ac:dyDescent="0.2">
      <c r="A70" s="58" t="s">
        <v>129</v>
      </c>
      <c r="B70" s="59" t="str">
        <f t="shared" ref="B70:H70" si="104">+IFERROR(B69/A69-1,"nm")</f>
        <v>nm</v>
      </c>
      <c r="C70" s="59" t="str">
        <f t="shared" si="104"/>
        <v>nm</v>
      </c>
      <c r="D70" s="59">
        <f t="shared" si="104"/>
        <v>0.24705882352941178</v>
      </c>
      <c r="E70" s="59">
        <f t="shared" si="104"/>
        <v>9.4339622641509413E-2</v>
      </c>
      <c r="F70" s="59">
        <f t="shared" si="104"/>
        <v>-4.31034482758621E-2</v>
      </c>
      <c r="G70" s="59">
        <f t="shared" si="104"/>
        <v>0.18918918918918926</v>
      </c>
      <c r="H70" s="59">
        <f t="shared" si="104"/>
        <v>3.0303030303030276E-2</v>
      </c>
      <c r="I70" s="59">
        <f>+IFERROR(I69/H69-1,"nm")</f>
        <v>-1.4705882352941124E-2</v>
      </c>
      <c r="J70" s="59">
        <f t="shared" ref="J70:N70" si="105">+IFERROR(J69/I69-1,"nm")</f>
        <v>0.42878913043478195</v>
      </c>
      <c r="K70" s="59">
        <f t="shared" si="105"/>
        <v>0.17091418242567835</v>
      </c>
      <c r="L70" s="59">
        <f t="shared" si="105"/>
        <v>0.17143369624136118</v>
      </c>
      <c r="M70" s="59">
        <f t="shared" si="105"/>
        <v>0.1719563732647944</v>
      </c>
      <c r="N70" s="59">
        <f t="shared" si="105"/>
        <v>0.17248176512266844</v>
      </c>
    </row>
    <row r="71" spans="1:15" x14ac:dyDescent="0.2">
      <c r="A71" s="58" t="s">
        <v>133</v>
      </c>
      <c r="B71" s="59">
        <f t="shared" ref="B71:H71" si="106">+IFERROR(B69/B$21,"nm")</f>
        <v>0</v>
      </c>
      <c r="C71" s="59">
        <f t="shared" si="106"/>
        <v>5.7572473584394475E-3</v>
      </c>
      <c r="D71" s="59">
        <f t="shared" si="106"/>
        <v>6.9663512092534175E-3</v>
      </c>
      <c r="E71" s="59">
        <f t="shared" si="106"/>
        <v>7.808818579602827E-3</v>
      </c>
      <c r="F71" s="59">
        <f t="shared" si="106"/>
        <v>6.9802540560935733E-3</v>
      </c>
      <c r="G71" s="59">
        <f t="shared" si="106"/>
        <v>9.1135045567522777E-3</v>
      </c>
      <c r="H71" s="59">
        <f t="shared" si="106"/>
        <v>7.9166424122475119E-3</v>
      </c>
      <c r="I71" s="59">
        <f>+IFERROR(I69/I$52,"nm")</f>
        <v>1.0738039907043834E-2</v>
      </c>
      <c r="J71" s="59">
        <f t="shared" ref="J71:N71" si="107">+IFERROR(J69/J$21,"nm")</f>
        <v>1.0012935670772133E-2</v>
      </c>
      <c r="K71" s="59">
        <f t="shared" si="107"/>
        <v>1.1243245252377496E-2</v>
      </c>
      <c r="L71" s="59">
        <f t="shared" si="107"/>
        <v>1.2617502168011413E-2</v>
      </c>
      <c r="M71" s="59">
        <f t="shared" si="107"/>
        <v>1.4149806798005208E-2</v>
      </c>
      <c r="N71" s="59">
        <f t="shared" si="107"/>
        <v>1.5854774807018121E-2</v>
      </c>
    </row>
    <row r="72" spans="1:15" x14ac:dyDescent="0.2">
      <c r="A72" s="58" t="s">
        <v>140</v>
      </c>
      <c r="B72" s="59" t="str">
        <f t="shared" ref="B72:H72" si="108">+IFERROR(B69/B79,"nm")</f>
        <v>nm</v>
      </c>
      <c r="C72" s="59" t="str">
        <f t="shared" si="108"/>
        <v>nm</v>
      </c>
      <c r="D72" s="59">
        <f t="shared" si="108"/>
        <v>0.14950634696755993</v>
      </c>
      <c r="E72" s="59">
        <f t="shared" si="108"/>
        <v>0.13663133097762073</v>
      </c>
      <c r="F72" s="59">
        <f t="shared" si="108"/>
        <v>0.11948331539289558</v>
      </c>
      <c r="G72" s="59">
        <f t="shared" si="108"/>
        <v>0.14915254237288136</v>
      </c>
      <c r="H72" s="59">
        <f t="shared" si="108"/>
        <v>0.1384928716904277</v>
      </c>
      <c r="I72" s="59">
        <f>+IFERROR(I69/I79,"nm")</f>
        <v>0.14565217391304347</v>
      </c>
      <c r="J72" s="59">
        <f>+I72</f>
        <v>0.14565217391304347</v>
      </c>
      <c r="K72" s="59">
        <f t="shared" ref="K72:N72" si="109">+J72</f>
        <v>0.14565217391304347</v>
      </c>
      <c r="L72" s="59">
        <f t="shared" si="109"/>
        <v>0.14565217391304347</v>
      </c>
      <c r="M72" s="59">
        <f t="shared" si="109"/>
        <v>0.14565217391304347</v>
      </c>
      <c r="N72" s="59">
        <f t="shared" si="109"/>
        <v>0.14565217391304347</v>
      </c>
    </row>
    <row r="73" spans="1:15" x14ac:dyDescent="0.2">
      <c r="A73" s="58" t="s">
        <v>134</v>
      </c>
      <c r="B73" s="58">
        <f>Historicals!B139</f>
        <v>0</v>
      </c>
      <c r="C73" s="58">
        <f>Historicals!C139</f>
        <v>0</v>
      </c>
      <c r="D73" s="58">
        <f>Historicals!D139</f>
        <v>1507</v>
      </c>
      <c r="E73" s="58">
        <f>Historicals!E139</f>
        <v>1587</v>
      </c>
      <c r="F73" s="58">
        <f>Historicals!F139</f>
        <v>1995</v>
      </c>
      <c r="G73" s="58">
        <f>Historicals!G139</f>
        <v>1541</v>
      </c>
      <c r="H73" s="58">
        <f>Historicals!H139</f>
        <v>2435</v>
      </c>
      <c r="I73" s="58">
        <f>Historicals!I139</f>
        <v>3293</v>
      </c>
      <c r="J73" s="58">
        <f>+J66-J69</f>
        <v>4190.1622565217385</v>
      </c>
      <c r="K73" s="58">
        <f t="shared" ref="K73:N73" si="110">+K66-K69</f>
        <v>4906.3204128260859</v>
      </c>
      <c r="L73" s="58">
        <f t="shared" si="110"/>
        <v>5747.4290561413027</v>
      </c>
      <c r="M73" s="58">
        <f t="shared" si="110"/>
        <v>6735.7361122320626</v>
      </c>
      <c r="N73" s="58">
        <f t="shared" si="110"/>
        <v>7897.5277662703493</v>
      </c>
    </row>
    <row r="74" spans="1:15" x14ac:dyDescent="0.2">
      <c r="A74" s="58" t="s">
        <v>129</v>
      </c>
      <c r="B74" s="59" t="str">
        <f t="shared" ref="B74:H74" si="111">+IFERROR(B73/A73-1,"nm")</f>
        <v>nm</v>
      </c>
      <c r="C74" s="59" t="str">
        <f t="shared" si="111"/>
        <v>nm</v>
      </c>
      <c r="D74" s="59" t="str">
        <f t="shared" si="111"/>
        <v>nm</v>
      </c>
      <c r="E74" s="59">
        <f t="shared" si="111"/>
        <v>5.3085600530855981E-2</v>
      </c>
      <c r="F74" s="59">
        <f t="shared" si="111"/>
        <v>0.25708884688090738</v>
      </c>
      <c r="G74" s="59">
        <f t="shared" si="111"/>
        <v>-0.22756892230576442</v>
      </c>
      <c r="H74" s="59">
        <f t="shared" si="111"/>
        <v>0.58014276443867629</v>
      </c>
      <c r="I74" s="59">
        <f>+IFERROR(I73/H73-1,"nm")</f>
        <v>0.3523613963039014</v>
      </c>
      <c r="J74" s="59">
        <f>+IFERROR(J73/I73-1,"nm")</f>
        <v>0.27244526465889418</v>
      </c>
      <c r="K74" s="59">
        <f t="shared" ref="K74:N74" si="112">+IFERROR(K73/J73-1,"nm")</f>
        <v>0.17091418242567813</v>
      </c>
      <c r="L74" s="59">
        <f t="shared" si="112"/>
        <v>0.17143369624136118</v>
      </c>
      <c r="M74" s="59">
        <f t="shared" si="112"/>
        <v>0.17195637326479463</v>
      </c>
      <c r="N74" s="59">
        <f t="shared" si="112"/>
        <v>0.17248176512266844</v>
      </c>
    </row>
    <row r="75" spans="1:15" x14ac:dyDescent="0.2">
      <c r="A75" s="58" t="s">
        <v>131</v>
      </c>
      <c r="B75" s="59" t="str">
        <f t="shared" ref="B75:H75" si="113">+IFERROR(B73/B$52,"nm")</f>
        <v>nm</v>
      </c>
      <c r="C75" s="59" t="str">
        <f t="shared" si="113"/>
        <v>nm</v>
      </c>
      <c r="D75" s="59">
        <f t="shared" si="113"/>
        <v>0.1890840652446675</v>
      </c>
      <c r="E75" s="59">
        <f t="shared" si="113"/>
        <v>0.17171607877082881</v>
      </c>
      <c r="F75" s="59">
        <f t="shared" si="113"/>
        <v>0.20332246229107215</v>
      </c>
      <c r="G75" s="59">
        <f t="shared" si="113"/>
        <v>0.16486573232053064</v>
      </c>
      <c r="H75" s="59">
        <f t="shared" si="113"/>
        <v>0.21255237430167598</v>
      </c>
      <c r="I75" s="59">
        <f>+IFERROR(I73/I$52,"nm")</f>
        <v>0.26388332398429359</v>
      </c>
      <c r="J75" s="59">
        <f t="shared" ref="J75:N75" si="114">+IFERROR(J73/J$21,"nm")</f>
        <v>0.21913882594888867</v>
      </c>
      <c r="K75" s="59">
        <f t="shared" si="114"/>
        <v>0.24606485505078904</v>
      </c>
      <c r="L75" s="59">
        <f t="shared" si="114"/>
        <v>0.27614125391583183</v>
      </c>
      <c r="M75" s="59">
        <f t="shared" si="114"/>
        <v>0.30967661743494979</v>
      </c>
      <c r="N75" s="59">
        <f t="shared" si="114"/>
        <v>0.3469908177914065</v>
      </c>
    </row>
    <row r="76" spans="1:15" x14ac:dyDescent="0.2">
      <c r="A76" s="58" t="s">
        <v>135</v>
      </c>
      <c r="B76" s="58">
        <f>Historicals!B161</f>
        <v>0</v>
      </c>
      <c r="C76" s="58">
        <f>Historicals!C161</f>
        <v>234</v>
      </c>
      <c r="D76" s="58">
        <f>Historicals!D161</f>
        <v>173</v>
      </c>
      <c r="E76" s="58">
        <f>Historicals!E161</f>
        <v>240</v>
      </c>
      <c r="F76" s="58">
        <f>Historicals!F161</f>
        <v>233</v>
      </c>
      <c r="G76" s="58">
        <f>Historicals!G161</f>
        <v>139</v>
      </c>
      <c r="H76" s="58">
        <f>Historicals!H161</f>
        <v>153</v>
      </c>
      <c r="I76" s="58">
        <f>Historicals!I161</f>
        <v>197</v>
      </c>
      <c r="J76" s="58">
        <f>+J52*J78</f>
        <v>230.56845901113866</v>
      </c>
      <c r="K76" s="58">
        <f t="shared" ref="K76:N76" si="115">+K52*K78</f>
        <v>269.97587867617591</v>
      </c>
      <c r="L76" s="58">
        <f t="shared" si="115"/>
        <v>316.25884145364205</v>
      </c>
      <c r="M76" s="58">
        <f t="shared" si="115"/>
        <v>370.64156484293596</v>
      </c>
      <c r="N76" s="58">
        <f t="shared" si="115"/>
        <v>434.57047617487359</v>
      </c>
    </row>
    <row r="77" spans="1:15" x14ac:dyDescent="0.2">
      <c r="A77" s="58" t="s">
        <v>129</v>
      </c>
      <c r="B77" s="59" t="str">
        <f t="shared" ref="B77:H77" si="116">+IFERROR(B76/A76-1,"nm")</f>
        <v>nm</v>
      </c>
      <c r="C77" s="59" t="str">
        <f t="shared" si="116"/>
        <v>nm</v>
      </c>
      <c r="D77" s="59">
        <f t="shared" si="116"/>
        <v>-0.26068376068376065</v>
      </c>
      <c r="E77" s="59">
        <f t="shared" si="116"/>
        <v>0.38728323699421963</v>
      </c>
      <c r="F77" s="59">
        <f t="shared" si="116"/>
        <v>-2.9166666666666674E-2</v>
      </c>
      <c r="G77" s="59">
        <f t="shared" si="116"/>
        <v>-0.40343347639484983</v>
      </c>
      <c r="H77" s="59">
        <f t="shared" si="116"/>
        <v>0.10071942446043169</v>
      </c>
      <c r="I77" s="59">
        <f>+IFERROR(I76/H76-1,"nm")</f>
        <v>0.28758169934640532</v>
      </c>
      <c r="J77" s="59">
        <v>0</v>
      </c>
      <c r="K77" s="59">
        <f t="shared" ref="K77:N77" si="117">+IFERROR(K76/J76-1,"nm")</f>
        <v>0.17091418242567813</v>
      </c>
      <c r="L77" s="59">
        <f t="shared" si="117"/>
        <v>0.17143369624136118</v>
      </c>
      <c r="M77" s="59">
        <f t="shared" si="117"/>
        <v>0.1719563732647944</v>
      </c>
      <c r="N77" s="59">
        <f t="shared" si="117"/>
        <v>0.17248176512266866</v>
      </c>
    </row>
    <row r="78" spans="1:15" x14ac:dyDescent="0.2">
      <c r="A78" s="58" t="s">
        <v>133</v>
      </c>
      <c r="B78" s="59" t="str">
        <f t="shared" ref="B78:H78" si="118">+IFERROR(B76/B$52,"nm")</f>
        <v>nm</v>
      </c>
      <c r="C78" s="59" t="str">
        <f t="shared" si="118"/>
        <v>nm</v>
      </c>
      <c r="D78" s="59">
        <f t="shared" si="118"/>
        <v>2.1706398996235884E-2</v>
      </c>
      <c r="E78" s="59">
        <f t="shared" si="118"/>
        <v>2.5968405107119671E-2</v>
      </c>
      <c r="F78" s="59">
        <f t="shared" si="118"/>
        <v>2.3746432939258051E-2</v>
      </c>
      <c r="G78" s="59">
        <f t="shared" si="118"/>
        <v>1.4871081630469669E-2</v>
      </c>
      <c r="H78" s="59">
        <f t="shared" si="118"/>
        <v>1.3355446927374302E-2</v>
      </c>
      <c r="I78" s="59">
        <f>+IFERROR(I76/I$52,"nm")</f>
        <v>1.5786521355877874E-2</v>
      </c>
      <c r="J78" s="59">
        <f>+I78</f>
        <v>1.5786521355877874E-2</v>
      </c>
      <c r="K78" s="59">
        <f t="shared" ref="K78:N78" si="119">+J78</f>
        <v>1.5786521355877874E-2</v>
      </c>
      <c r="L78" s="59">
        <f t="shared" si="119"/>
        <v>1.5786521355877874E-2</v>
      </c>
      <c r="M78" s="59">
        <f t="shared" si="119"/>
        <v>1.5786521355877874E-2</v>
      </c>
      <c r="N78" s="59">
        <f t="shared" si="119"/>
        <v>1.5786521355877874E-2</v>
      </c>
    </row>
    <row r="79" spans="1:15" x14ac:dyDescent="0.2">
      <c r="A79" s="58" t="s">
        <v>141</v>
      </c>
      <c r="B79" s="58">
        <f>Historicals!B150</f>
        <v>0</v>
      </c>
      <c r="C79" s="58">
        <f>Historicals!C150</f>
        <v>0</v>
      </c>
      <c r="D79" s="58">
        <f>Historicals!D150</f>
        <v>709</v>
      </c>
      <c r="E79" s="58">
        <f>Historicals!E150</f>
        <v>849</v>
      </c>
      <c r="F79" s="58">
        <f>Historicals!F150</f>
        <v>929</v>
      </c>
      <c r="G79" s="58">
        <f>Historicals!G150</f>
        <v>885</v>
      </c>
      <c r="H79" s="58">
        <f>Historicals!H150</f>
        <v>982</v>
      </c>
      <c r="I79" s="58">
        <f>Historicals!I150</f>
        <v>920</v>
      </c>
      <c r="J79" s="58">
        <f>+J52*J81</f>
        <v>1314.4859999999996</v>
      </c>
      <c r="K79" s="58">
        <f t="shared" ref="K79:N79" si="120">+K52*K81</f>
        <v>1539.1502999999998</v>
      </c>
      <c r="L79" s="58">
        <f t="shared" si="120"/>
        <v>1803.0125249999996</v>
      </c>
      <c r="M79" s="58">
        <f t="shared" si="120"/>
        <v>2113.0520197499991</v>
      </c>
      <c r="N79" s="58">
        <f t="shared" si="120"/>
        <v>2477.5149619124991</v>
      </c>
    </row>
    <row r="80" spans="1:15" x14ac:dyDescent="0.2">
      <c r="A80" s="58" t="s">
        <v>129</v>
      </c>
      <c r="B80" s="59" t="str">
        <f t="shared" ref="B80:H80" si="121">+IFERROR(B79/A79-1,"nm")</f>
        <v>nm</v>
      </c>
      <c r="C80" s="59" t="str">
        <f t="shared" si="121"/>
        <v>nm</v>
      </c>
      <c r="D80" s="59" t="str">
        <f t="shared" si="121"/>
        <v>nm</v>
      </c>
      <c r="E80" s="59">
        <f t="shared" si="121"/>
        <v>0.19746121297602248</v>
      </c>
      <c r="F80" s="59">
        <f t="shared" si="121"/>
        <v>9.4228504122497059E-2</v>
      </c>
      <c r="G80" s="59">
        <f t="shared" si="121"/>
        <v>-4.7362755651237931E-2</v>
      </c>
      <c r="H80" s="59">
        <f t="shared" si="121"/>
        <v>0.1096045197740112</v>
      </c>
      <c r="I80" s="59">
        <f>+IFERROR(I79/H79-1,"nm")</f>
        <v>-6.313645621181263E-2</v>
      </c>
      <c r="J80" s="59">
        <f>+J81+J82</f>
        <v>0.09</v>
      </c>
      <c r="K80" s="59">
        <f t="shared" ref="K80:N80" si="122">+K81+K82</f>
        <v>0.09</v>
      </c>
      <c r="L80" s="59">
        <f t="shared" si="122"/>
        <v>0.09</v>
      </c>
      <c r="M80" s="59">
        <f t="shared" si="122"/>
        <v>0.09</v>
      </c>
      <c r="N80" s="59">
        <f t="shared" si="122"/>
        <v>0.09</v>
      </c>
    </row>
    <row r="81" spans="1:15" x14ac:dyDescent="0.2">
      <c r="A81" s="58" t="s">
        <v>133</v>
      </c>
      <c r="B81" s="59" t="str">
        <f t="shared" ref="B81:H81" si="123">+IFERROR(B79/B$52,"nm")</f>
        <v>nm</v>
      </c>
      <c r="C81" s="59" t="str">
        <f t="shared" si="123"/>
        <v>nm</v>
      </c>
      <c r="D81" s="59">
        <f t="shared" si="123"/>
        <v>8.8958594730238399E-2</v>
      </c>
      <c r="E81" s="59">
        <f t="shared" si="123"/>
        <v>9.1863233066435832E-2</v>
      </c>
      <c r="F81" s="59">
        <f t="shared" si="123"/>
        <v>9.4679983693436609E-2</v>
      </c>
      <c r="G81" s="59">
        <f t="shared" si="123"/>
        <v>9.4682785920616241E-2</v>
      </c>
      <c r="H81" s="59">
        <f t="shared" si="123"/>
        <v>8.5719273743016758E-2</v>
      </c>
      <c r="I81" s="59">
        <f>+IFERROR(I79/I$52,"nm")</f>
        <v>7.37238560782114E-2</v>
      </c>
      <c r="J81" s="59">
        <v>0.09</v>
      </c>
      <c r="K81" s="59">
        <f t="shared" ref="K81:N81" si="124">+J81</f>
        <v>0.09</v>
      </c>
      <c r="L81" s="59">
        <f t="shared" si="124"/>
        <v>0.09</v>
      </c>
      <c r="M81" s="59">
        <f t="shared" si="124"/>
        <v>0.09</v>
      </c>
      <c r="N81" s="59">
        <f t="shared" si="124"/>
        <v>0.09</v>
      </c>
    </row>
    <row r="82" spans="1:15" x14ac:dyDescent="0.2">
      <c r="A82" s="62" t="s">
        <v>102</v>
      </c>
      <c r="B82" s="60"/>
      <c r="C82" s="60"/>
      <c r="D82" s="60"/>
      <c r="E82" s="60"/>
      <c r="F82" s="60"/>
      <c r="G82" s="60"/>
      <c r="H82" s="60"/>
      <c r="I82" s="60"/>
      <c r="J82" s="61"/>
      <c r="K82" s="61"/>
      <c r="L82" s="61"/>
      <c r="M82" s="61"/>
      <c r="N82" s="61"/>
    </row>
    <row r="83" spans="1:15" x14ac:dyDescent="0.2">
      <c r="A83" s="58" t="s">
        <v>136</v>
      </c>
      <c r="B83">
        <f>Historicals!B119</f>
        <v>3067</v>
      </c>
      <c r="C83">
        <f>Historicals!C119</f>
        <v>3785</v>
      </c>
      <c r="D83">
        <f>Historicals!D119</f>
        <v>4237</v>
      </c>
      <c r="E83">
        <f>Historicals!E119</f>
        <v>5134</v>
      </c>
      <c r="F83">
        <f>Historicals!F119</f>
        <v>6208</v>
      </c>
      <c r="G83">
        <f>Historicals!G119</f>
        <v>6679</v>
      </c>
      <c r="H83">
        <f>Historicals!H119</f>
        <v>8290</v>
      </c>
      <c r="I83">
        <f>Historicals!I119</f>
        <v>7547</v>
      </c>
      <c r="J83" s="58">
        <f>+SUM(J85+J89+J93)</f>
        <v>7643.3</v>
      </c>
      <c r="K83" s="58">
        <f t="shared" ref="K83:N83" si="125">+SUM(K85+K89+K93)</f>
        <v>7774.45</v>
      </c>
      <c r="L83" s="58">
        <f t="shared" si="125"/>
        <v>7939.3820000000005</v>
      </c>
      <c r="M83" s="58">
        <f t="shared" si="125"/>
        <v>8137.2749500000009</v>
      </c>
      <c r="N83" s="58">
        <f t="shared" si="125"/>
        <v>8367.5389925000018</v>
      </c>
    </row>
    <row r="84" spans="1:15" x14ac:dyDescent="0.2">
      <c r="A84" s="58" t="s">
        <v>129</v>
      </c>
      <c r="B84" s="59" t="str">
        <f t="shared" ref="B84:H84" si="126">+IFERROR(B83/A83-1,"nm")</f>
        <v>nm</v>
      </c>
      <c r="C84" s="59">
        <f t="shared" si="126"/>
        <v>0.23410498858819695</v>
      </c>
      <c r="D84" s="59">
        <f t="shared" si="126"/>
        <v>0.11941875825627468</v>
      </c>
      <c r="E84" s="59">
        <f t="shared" si="126"/>
        <v>0.21170639603493036</v>
      </c>
      <c r="F84" s="59">
        <f t="shared" si="126"/>
        <v>0.20919361121932223</v>
      </c>
      <c r="G84" s="59">
        <f t="shared" si="126"/>
        <v>7.5869845360824639E-2</v>
      </c>
      <c r="H84" s="59">
        <f t="shared" si="126"/>
        <v>0.24120377301991325</v>
      </c>
      <c r="I84" s="59">
        <f>+IFERROR(I83/H83-1,"nm")</f>
        <v>-8.9626055488540413E-2</v>
      </c>
      <c r="J84" s="59">
        <f t="shared" ref="J84:N84" si="127">+IFERROR(J83/I83-1,"nm")</f>
        <v>1.2760037100834731E-2</v>
      </c>
      <c r="K84" s="59">
        <f t="shared" si="127"/>
        <v>1.7158818834796419E-2</v>
      </c>
      <c r="L84" s="59">
        <f t="shared" si="127"/>
        <v>2.1214619683707525E-2</v>
      </c>
      <c r="M84" s="59">
        <f t="shared" si="127"/>
        <v>2.4925485384126977E-2</v>
      </c>
      <c r="N84" s="59">
        <f t="shared" si="127"/>
        <v>2.8297439119959966E-2</v>
      </c>
    </row>
    <row r="85" spans="1:15" x14ac:dyDescent="0.2">
      <c r="A85" s="58" t="s">
        <v>113</v>
      </c>
      <c r="B85" s="58">
        <f>Historicals!B120</f>
        <v>2016</v>
      </c>
      <c r="C85" s="58">
        <f>Historicals!C120</f>
        <v>2599</v>
      </c>
      <c r="D85" s="58">
        <f>Historicals!D120</f>
        <v>2920</v>
      </c>
      <c r="E85" s="58">
        <f>Historicals!E120</f>
        <v>3496</v>
      </c>
      <c r="F85" s="58">
        <f>Historicals!F120</f>
        <v>4262</v>
      </c>
      <c r="G85" s="58">
        <f>Historicals!G120</f>
        <v>4635</v>
      </c>
      <c r="H85" s="58">
        <f>Historicals!H120</f>
        <v>5748</v>
      </c>
      <c r="I85" s="58">
        <f>Historicals!I120</f>
        <v>5416</v>
      </c>
      <c r="J85" s="58">
        <f>+I85*(1+J86)</f>
        <v>5686.8</v>
      </c>
      <c r="K85" s="58">
        <f t="shared" ref="K85:N85" si="128">+J85*(1+K86)</f>
        <v>5971.14</v>
      </c>
      <c r="L85" s="58">
        <f t="shared" si="128"/>
        <v>6269.697000000001</v>
      </c>
      <c r="M85" s="58">
        <f t="shared" si="128"/>
        <v>6583.1818500000018</v>
      </c>
      <c r="N85" s="58">
        <f t="shared" si="128"/>
        <v>6912.3409425000018</v>
      </c>
    </row>
    <row r="86" spans="1:15" x14ac:dyDescent="0.2">
      <c r="A86" s="58" t="s">
        <v>129</v>
      </c>
      <c r="B86" s="59" t="str">
        <f t="shared" ref="B86:H86" si="129">+IFERROR(B85/A85-1,"nm")</f>
        <v>nm</v>
      </c>
      <c r="C86" s="59">
        <f t="shared" si="129"/>
        <v>0.28918650793650791</v>
      </c>
      <c r="D86" s="59">
        <f t="shared" si="129"/>
        <v>0.12350904193920731</v>
      </c>
      <c r="E86" s="59">
        <f t="shared" si="129"/>
        <v>0.19726027397260282</v>
      </c>
      <c r="F86" s="59">
        <f t="shared" si="129"/>
        <v>0.21910755148741412</v>
      </c>
      <c r="G86" s="59">
        <f t="shared" si="129"/>
        <v>8.7517597372125833E-2</v>
      </c>
      <c r="H86" s="59">
        <f t="shared" si="129"/>
        <v>0.24012944983818763</v>
      </c>
      <c r="I86" s="59">
        <f>+IFERROR(I85/H85-1,"nm")</f>
        <v>-5.7759220598469052E-2</v>
      </c>
      <c r="J86" s="59">
        <f>+J87+J88</f>
        <v>0.05</v>
      </c>
      <c r="K86" s="59">
        <f t="shared" ref="K86:N86" si="130">+K87+K88</f>
        <v>0.05</v>
      </c>
      <c r="L86" s="59">
        <f t="shared" si="130"/>
        <v>0.05</v>
      </c>
      <c r="M86" s="59">
        <f t="shared" si="130"/>
        <v>0.05</v>
      </c>
      <c r="N86" s="59">
        <f t="shared" si="130"/>
        <v>0.05</v>
      </c>
    </row>
    <row r="87" spans="1:15" x14ac:dyDescent="0.2">
      <c r="A87" s="58" t="s">
        <v>137</v>
      </c>
      <c r="B87" s="59">
        <f>Historicals!B192</f>
        <v>0.28000000000000003</v>
      </c>
      <c r="C87" s="59">
        <f>Historicals!C192</f>
        <v>0.33</v>
      </c>
      <c r="D87" s="59">
        <f>Historicals!D192</f>
        <v>7.0000000000000007E-2</v>
      </c>
      <c r="E87" s="59">
        <f>Historicals!E192</f>
        <v>0.16</v>
      </c>
      <c r="F87" s="59">
        <f>Historicals!F192</f>
        <v>0.25</v>
      </c>
      <c r="G87" s="59">
        <f>Historicals!G192</f>
        <v>0.12</v>
      </c>
      <c r="H87" s="59">
        <f>Historicals!H192</f>
        <v>0</v>
      </c>
      <c r="I87" s="59">
        <f>Historicals!I192</f>
        <v>-0.1</v>
      </c>
      <c r="J87" s="59">
        <v>0.05</v>
      </c>
      <c r="K87" s="59">
        <f t="shared" ref="K87:N88" si="131">+J87</f>
        <v>0.05</v>
      </c>
      <c r="L87" s="59">
        <f t="shared" si="131"/>
        <v>0.05</v>
      </c>
      <c r="M87" s="59">
        <f t="shared" si="131"/>
        <v>0.05</v>
      </c>
      <c r="N87" s="59">
        <f t="shared" si="131"/>
        <v>0.05</v>
      </c>
      <c r="O87" t="s">
        <v>211</v>
      </c>
    </row>
    <row r="88" spans="1:15" x14ac:dyDescent="0.2">
      <c r="A88" s="58" t="s">
        <v>138</v>
      </c>
      <c r="B88" s="59" t="str">
        <f t="shared" ref="B88:H88" si="132">+IFERROR(B86-B87,"nm")</f>
        <v>nm</v>
      </c>
      <c r="C88" s="59">
        <f t="shared" si="132"/>
        <v>-4.0813492063492107E-2</v>
      </c>
      <c r="D88" s="59">
        <f t="shared" si="132"/>
        <v>5.3509041939207302E-2</v>
      </c>
      <c r="E88" s="59">
        <f t="shared" si="132"/>
        <v>3.7260273972602814E-2</v>
      </c>
      <c r="F88" s="59">
        <f t="shared" si="132"/>
        <v>-3.0892448512585879E-2</v>
      </c>
      <c r="G88" s="59">
        <f t="shared" si="132"/>
        <v>-3.2482402627874163E-2</v>
      </c>
      <c r="H88" s="59">
        <f t="shared" si="132"/>
        <v>0.24012944983818763</v>
      </c>
      <c r="I88" s="59">
        <f>+IFERROR(I86-I87,"nm")</f>
        <v>4.2240779401530953E-2</v>
      </c>
      <c r="J88" s="59">
        <v>0</v>
      </c>
      <c r="K88" s="59">
        <f t="shared" si="131"/>
        <v>0</v>
      </c>
      <c r="L88" s="59">
        <f t="shared" si="131"/>
        <v>0</v>
      </c>
      <c r="M88" s="59">
        <f t="shared" si="131"/>
        <v>0</v>
      </c>
      <c r="N88" s="59">
        <f t="shared" si="131"/>
        <v>0</v>
      </c>
    </row>
    <row r="89" spans="1:15" x14ac:dyDescent="0.2">
      <c r="A89" s="58" t="s">
        <v>114</v>
      </c>
      <c r="B89" s="58">
        <f>Historicals!B121</f>
        <v>925</v>
      </c>
      <c r="C89" s="58">
        <f>Historicals!C121</f>
        <v>1055</v>
      </c>
      <c r="D89" s="58">
        <f>Historicals!D121</f>
        <v>1188</v>
      </c>
      <c r="E89" s="58">
        <f>Historicals!E121</f>
        <v>1508</v>
      </c>
      <c r="F89" s="58">
        <f>Historicals!F121</f>
        <v>1808</v>
      </c>
      <c r="G89" s="58">
        <f>Historicals!G121</f>
        <v>1896</v>
      </c>
      <c r="H89" s="58">
        <f>Historicals!H121</f>
        <v>2347</v>
      </c>
      <c r="I89" s="58">
        <f>Historicals!I121</f>
        <v>1938</v>
      </c>
      <c r="J89" s="58">
        <f>+I89*(1+J90)</f>
        <v>1744.2</v>
      </c>
      <c r="K89" s="58">
        <f t="shared" ref="K89:N89" si="133">+J89*(1+K90)</f>
        <v>1569.78</v>
      </c>
      <c r="L89" s="58">
        <f t="shared" si="133"/>
        <v>1412.8019999999999</v>
      </c>
      <c r="M89" s="58">
        <f t="shared" si="133"/>
        <v>1271.5218</v>
      </c>
      <c r="N89" s="58">
        <f t="shared" si="133"/>
        <v>1144.3696199999999</v>
      </c>
    </row>
    <row r="90" spans="1:15" x14ac:dyDescent="0.2">
      <c r="A90" s="58" t="s">
        <v>129</v>
      </c>
      <c r="B90" s="59" t="str">
        <f t="shared" ref="B90:H90" si="134">+IFERROR(B89/A89-1,"nm")</f>
        <v>nm</v>
      </c>
      <c r="C90" s="59">
        <f t="shared" si="134"/>
        <v>0.14054054054054044</v>
      </c>
      <c r="D90" s="59">
        <f t="shared" si="134"/>
        <v>0.12606635071090055</v>
      </c>
      <c r="E90" s="59">
        <f t="shared" si="134"/>
        <v>0.26936026936026947</v>
      </c>
      <c r="F90" s="59">
        <f t="shared" si="134"/>
        <v>0.19893899204244025</v>
      </c>
      <c r="G90" s="59">
        <f t="shared" si="134"/>
        <v>4.8672566371681381E-2</v>
      </c>
      <c r="H90" s="59">
        <f t="shared" si="134"/>
        <v>0.2378691983122363</v>
      </c>
      <c r="I90" s="59">
        <f>+IFERROR(I89/H89-1,"nm")</f>
        <v>-0.17426501917341286</v>
      </c>
      <c r="J90" s="59">
        <f t="shared" ref="J90:N90" si="135">+J91+J92</f>
        <v>-0.1</v>
      </c>
      <c r="K90" s="59">
        <f t="shared" si="135"/>
        <v>-0.1</v>
      </c>
      <c r="L90" s="59">
        <f t="shared" si="135"/>
        <v>-0.1</v>
      </c>
      <c r="M90" s="59">
        <f t="shared" si="135"/>
        <v>-0.1</v>
      </c>
      <c r="N90" s="59">
        <f t="shared" si="135"/>
        <v>-0.1</v>
      </c>
    </row>
    <row r="91" spans="1:15" x14ac:dyDescent="0.2">
      <c r="A91" s="58" t="s">
        <v>137</v>
      </c>
      <c r="B91" s="59">
        <f>Historicals!B193</f>
        <v>7.0000000000000007E-2</v>
      </c>
      <c r="C91" s="59">
        <f>Historicals!C193</f>
        <v>0.17</v>
      </c>
      <c r="D91" s="59">
        <f>Historicals!D193</f>
        <v>0.1</v>
      </c>
      <c r="E91" s="59">
        <f>Historicals!E193</f>
        <v>0.23</v>
      </c>
      <c r="F91" s="59">
        <f>Historicals!F193</f>
        <v>0.23</v>
      </c>
      <c r="G91" s="59">
        <f>Historicals!G193</f>
        <v>0.08</v>
      </c>
      <c r="H91" s="59">
        <f>Historicals!H193</f>
        <v>0</v>
      </c>
      <c r="I91" s="59">
        <f>Historicals!I193</f>
        <v>-0.21</v>
      </c>
      <c r="J91" s="59">
        <v>-0.1</v>
      </c>
      <c r="K91" s="59">
        <f t="shared" ref="K91:N92" si="136">+J91</f>
        <v>-0.1</v>
      </c>
      <c r="L91" s="59">
        <f t="shared" si="136"/>
        <v>-0.1</v>
      </c>
      <c r="M91" s="59">
        <f t="shared" si="136"/>
        <v>-0.1</v>
      </c>
      <c r="N91" s="59">
        <f t="shared" si="136"/>
        <v>-0.1</v>
      </c>
      <c r="O91" t="s">
        <v>211</v>
      </c>
    </row>
    <row r="92" spans="1:15" x14ac:dyDescent="0.2">
      <c r="A92" s="58" t="s">
        <v>138</v>
      </c>
      <c r="B92" s="59" t="str">
        <f t="shared" ref="B92:H92" si="137">+IFERROR(B90-B91,"nm")</f>
        <v>nm</v>
      </c>
      <c r="C92" s="59">
        <f t="shared" si="137"/>
        <v>-2.9459459459459575E-2</v>
      </c>
      <c r="D92" s="59">
        <f t="shared" si="137"/>
        <v>2.6066350710900549E-2</v>
      </c>
      <c r="E92" s="59">
        <f t="shared" si="137"/>
        <v>3.9360269360269456E-2</v>
      </c>
      <c r="F92" s="59">
        <f t="shared" si="137"/>
        <v>-3.1061007957559755E-2</v>
      </c>
      <c r="G92" s="59">
        <f t="shared" si="137"/>
        <v>-3.1327433628318621E-2</v>
      </c>
      <c r="H92" s="59">
        <f t="shared" si="137"/>
        <v>0.2378691983122363</v>
      </c>
      <c r="I92" s="59">
        <f>+IFERROR(I90-I91,"nm")</f>
        <v>3.5734980826587132E-2</v>
      </c>
      <c r="J92" s="59">
        <v>0</v>
      </c>
      <c r="K92" s="59">
        <f t="shared" si="136"/>
        <v>0</v>
      </c>
      <c r="L92" s="59">
        <f t="shared" si="136"/>
        <v>0</v>
      </c>
      <c r="M92" s="59">
        <f t="shared" si="136"/>
        <v>0</v>
      </c>
      <c r="N92" s="59">
        <f t="shared" si="136"/>
        <v>0</v>
      </c>
    </row>
    <row r="93" spans="1:15" x14ac:dyDescent="0.2">
      <c r="A93" s="58" t="s">
        <v>115</v>
      </c>
      <c r="B93" s="66">
        <f>Historicals!B122</f>
        <v>126</v>
      </c>
      <c r="C93" s="66">
        <f>Historicals!C122</f>
        <v>131</v>
      </c>
      <c r="D93" s="66">
        <f>Historicals!D122</f>
        <v>129</v>
      </c>
      <c r="E93" s="66">
        <f>Historicals!E122</f>
        <v>130</v>
      </c>
      <c r="F93" s="66">
        <f>Historicals!F122</f>
        <v>138</v>
      </c>
      <c r="G93" s="66">
        <f>Historicals!G122</f>
        <v>148</v>
      </c>
      <c r="H93" s="66">
        <f>Historicals!H122</f>
        <v>195</v>
      </c>
      <c r="I93" s="66">
        <f>Historicals!I122</f>
        <v>193</v>
      </c>
      <c r="J93" s="58">
        <f>+I93*(1+J94)</f>
        <v>212.3</v>
      </c>
      <c r="K93" s="58">
        <f t="shared" ref="K93:N93" si="138">+J93*(1+K94)</f>
        <v>233.53000000000003</v>
      </c>
      <c r="L93" s="58">
        <f t="shared" si="138"/>
        <v>256.88300000000004</v>
      </c>
      <c r="M93" s="58">
        <f t="shared" si="138"/>
        <v>282.57130000000006</v>
      </c>
      <c r="N93" s="58">
        <f t="shared" si="138"/>
        <v>310.82843000000008</v>
      </c>
    </row>
    <row r="94" spans="1:15" x14ac:dyDescent="0.2">
      <c r="A94" s="58" t="s">
        <v>129</v>
      </c>
      <c r="B94" s="59" t="str">
        <f t="shared" ref="B94:H94" si="139">+IFERROR(B93/A93-1,"nm")</f>
        <v>nm</v>
      </c>
      <c r="C94" s="59">
        <f t="shared" si="139"/>
        <v>3.9682539682539764E-2</v>
      </c>
      <c r="D94" s="59">
        <f t="shared" si="139"/>
        <v>-1.5267175572519109E-2</v>
      </c>
      <c r="E94" s="59">
        <f t="shared" si="139"/>
        <v>7.7519379844961378E-3</v>
      </c>
      <c r="F94" s="59">
        <f t="shared" si="139"/>
        <v>6.1538461538461542E-2</v>
      </c>
      <c r="G94" s="59">
        <f t="shared" si="139"/>
        <v>7.2463768115942129E-2</v>
      </c>
      <c r="H94" s="59">
        <f t="shared" si="139"/>
        <v>0.31756756756756754</v>
      </c>
      <c r="I94" s="59">
        <f>+IFERROR(I93/H93-1,"nm")</f>
        <v>-1.025641025641022E-2</v>
      </c>
      <c r="J94" s="59">
        <f>+J95+J96</f>
        <v>0.1</v>
      </c>
      <c r="K94" s="59">
        <f t="shared" ref="K94:N94" si="140">+K95+K96</f>
        <v>0.1</v>
      </c>
      <c r="L94" s="59">
        <f t="shared" si="140"/>
        <v>0.1</v>
      </c>
      <c r="M94" s="59">
        <f t="shared" si="140"/>
        <v>0.1</v>
      </c>
      <c r="N94" s="59">
        <f t="shared" si="140"/>
        <v>0.1</v>
      </c>
    </row>
    <row r="95" spans="1:15" x14ac:dyDescent="0.2">
      <c r="A95" s="58" t="s">
        <v>137</v>
      </c>
      <c r="B95" s="59">
        <f>Historicals!B194</f>
        <v>0.01</v>
      </c>
      <c r="C95" s="59">
        <f>Historicals!C194</f>
        <v>7.0000000000000007E-2</v>
      </c>
      <c r="D95" s="59">
        <f>Historicals!D194</f>
        <v>-0.06</v>
      </c>
      <c r="E95" s="59">
        <f>Historicals!E194</f>
        <v>-0.01</v>
      </c>
      <c r="F95" s="59">
        <f>Historicals!F194</f>
        <v>0.08</v>
      </c>
      <c r="G95" s="59">
        <f>Historicals!G194</f>
        <v>0.11</v>
      </c>
      <c r="H95" s="59">
        <f>Historicals!H194</f>
        <v>0</v>
      </c>
      <c r="I95" s="59">
        <f>Historicals!I194</f>
        <v>-0.06</v>
      </c>
      <c r="J95" s="59">
        <v>0.1</v>
      </c>
      <c r="K95" s="59">
        <f t="shared" ref="K95:N96" si="141">+J95</f>
        <v>0.1</v>
      </c>
      <c r="L95" s="59">
        <f t="shared" si="141"/>
        <v>0.1</v>
      </c>
      <c r="M95" s="59">
        <f t="shared" si="141"/>
        <v>0.1</v>
      </c>
      <c r="N95" s="59">
        <f t="shared" si="141"/>
        <v>0.1</v>
      </c>
      <c r="O95" t="s">
        <v>211</v>
      </c>
    </row>
    <row r="96" spans="1:15" x14ac:dyDescent="0.2">
      <c r="A96" s="58" t="s">
        <v>138</v>
      </c>
      <c r="B96" s="59" t="str">
        <f t="shared" ref="B96:H96" si="142">+IFERROR(B94-B95,"nm")</f>
        <v>nm</v>
      </c>
      <c r="C96" s="59">
        <f t="shared" si="142"/>
        <v>-3.0317460317460243E-2</v>
      </c>
      <c r="D96" s="59">
        <f t="shared" si="142"/>
        <v>4.4732824427480888E-2</v>
      </c>
      <c r="E96" s="59">
        <f t="shared" si="142"/>
        <v>1.775193798449614E-2</v>
      </c>
      <c r="F96" s="59">
        <f t="shared" si="142"/>
        <v>-1.846153846153846E-2</v>
      </c>
      <c r="G96" s="59">
        <f t="shared" si="142"/>
        <v>-3.7536231884057872E-2</v>
      </c>
      <c r="H96" s="59">
        <f t="shared" si="142"/>
        <v>0.31756756756756754</v>
      </c>
      <c r="I96" s="59">
        <f>+IFERROR(I94-I95,"nm")</f>
        <v>4.9743589743589778E-2</v>
      </c>
      <c r="J96" s="59">
        <v>0</v>
      </c>
      <c r="K96" s="59">
        <f t="shared" si="141"/>
        <v>0</v>
      </c>
      <c r="L96" s="59">
        <f t="shared" si="141"/>
        <v>0</v>
      </c>
      <c r="M96" s="59">
        <f t="shared" si="141"/>
        <v>0</v>
      </c>
      <c r="N96" s="59">
        <f t="shared" si="141"/>
        <v>0</v>
      </c>
    </row>
    <row r="97" spans="1:15" x14ac:dyDescent="0.2">
      <c r="A97" s="58" t="s">
        <v>130</v>
      </c>
      <c r="B97" s="58">
        <f>+B104+B100</f>
        <v>1039</v>
      </c>
      <c r="C97" s="58">
        <f t="shared" ref="C97:I97" si="143">+C104+C100</f>
        <v>1420</v>
      </c>
      <c r="D97" s="58">
        <f t="shared" si="143"/>
        <v>1561</v>
      </c>
      <c r="E97" s="58">
        <f t="shared" si="143"/>
        <v>1863</v>
      </c>
      <c r="F97" s="58">
        <f t="shared" si="143"/>
        <v>2426</v>
      </c>
      <c r="G97" s="58">
        <f t="shared" si="143"/>
        <v>2534</v>
      </c>
      <c r="H97" s="58">
        <f t="shared" si="143"/>
        <v>3289</v>
      </c>
      <c r="I97" s="58">
        <f t="shared" si="143"/>
        <v>2406</v>
      </c>
      <c r="J97" s="58">
        <f>+J83*J99</f>
        <v>2675.1549999999997</v>
      </c>
      <c r="K97" s="58">
        <f t="shared" ref="K97:N97" si="144">+K83*K99</f>
        <v>2721.0574999999999</v>
      </c>
      <c r="L97" s="58">
        <f t="shared" si="144"/>
        <v>2778.7837</v>
      </c>
      <c r="M97" s="58">
        <f t="shared" si="144"/>
        <v>2848.0462325000003</v>
      </c>
      <c r="N97" s="58">
        <f t="shared" si="144"/>
        <v>2928.6386473750003</v>
      </c>
      <c r="O97" t="s">
        <v>221</v>
      </c>
    </row>
    <row r="98" spans="1:15" x14ac:dyDescent="0.2">
      <c r="A98" s="58" t="s">
        <v>129</v>
      </c>
      <c r="B98" s="59" t="str">
        <f t="shared" ref="B98:H98" si="145">+IFERROR(B97/A97-1,"nm")</f>
        <v>nm</v>
      </c>
      <c r="C98" s="59">
        <f t="shared" si="145"/>
        <v>0.36669874879692022</v>
      </c>
      <c r="D98" s="59">
        <f t="shared" si="145"/>
        <v>9.9295774647887303E-2</v>
      </c>
      <c r="E98" s="59">
        <f t="shared" si="145"/>
        <v>0.19346572709801402</v>
      </c>
      <c r="F98" s="59">
        <f t="shared" si="145"/>
        <v>0.3022007514761138</v>
      </c>
      <c r="G98" s="59">
        <f t="shared" si="145"/>
        <v>4.4517724649629109E-2</v>
      </c>
      <c r="H98" s="59">
        <f t="shared" si="145"/>
        <v>0.29794790844514596</v>
      </c>
      <c r="I98" s="59">
        <f>+IFERROR(I97/H97-1,"nm")</f>
        <v>-0.26847065977500761</v>
      </c>
      <c r="J98" s="59">
        <f t="shared" ref="J98:N98" si="146">+IFERROR(J97/I97-1,"nm")</f>
        <v>0.11186824605153767</v>
      </c>
      <c r="K98" s="59">
        <f t="shared" si="146"/>
        <v>1.7158818834796641E-2</v>
      </c>
      <c r="L98" s="59">
        <f t="shared" si="146"/>
        <v>2.1214619683707525E-2</v>
      </c>
      <c r="M98" s="59">
        <f t="shared" si="146"/>
        <v>2.4925485384126977E-2</v>
      </c>
      <c r="N98" s="59">
        <f t="shared" si="146"/>
        <v>2.8297439119959966E-2</v>
      </c>
    </row>
    <row r="99" spans="1:15" x14ac:dyDescent="0.2">
      <c r="A99" s="58" t="s">
        <v>131</v>
      </c>
      <c r="B99" s="59">
        <f t="shared" ref="B99:H99" si="147">+IFERROR(B97/B$83,"nm")</f>
        <v>0.33876752526899251</v>
      </c>
      <c r="C99" s="59">
        <f t="shared" si="147"/>
        <v>0.37516512549537651</v>
      </c>
      <c r="D99" s="59">
        <f t="shared" si="147"/>
        <v>0.36842105263157893</v>
      </c>
      <c r="E99" s="59">
        <f t="shared" si="147"/>
        <v>0.36287495130502534</v>
      </c>
      <c r="F99" s="59">
        <f t="shared" si="147"/>
        <v>0.3907860824742268</v>
      </c>
      <c r="G99" s="59">
        <f t="shared" si="147"/>
        <v>0.37939811349004343</v>
      </c>
      <c r="H99" s="59">
        <f t="shared" si="147"/>
        <v>0.39674306393244874</v>
      </c>
      <c r="I99" s="59">
        <f>+IFERROR(I97/I$83,"nm")</f>
        <v>0.31880217304889358</v>
      </c>
      <c r="J99" s="59">
        <v>0.35</v>
      </c>
      <c r="K99" s="59">
        <f t="shared" ref="K99:N99" si="148">+J99</f>
        <v>0.35</v>
      </c>
      <c r="L99" s="59">
        <f t="shared" si="148"/>
        <v>0.35</v>
      </c>
      <c r="M99" s="59">
        <f t="shared" si="148"/>
        <v>0.35</v>
      </c>
      <c r="N99" s="59">
        <f t="shared" si="148"/>
        <v>0.35</v>
      </c>
    </row>
    <row r="100" spans="1:15" x14ac:dyDescent="0.2">
      <c r="A100" s="58" t="s">
        <v>132</v>
      </c>
      <c r="B100" s="58">
        <f>Historicals!B173</f>
        <v>46</v>
      </c>
      <c r="C100" s="58">
        <f>Historicals!C173</f>
        <v>48</v>
      </c>
      <c r="D100" s="58">
        <f>Historicals!D173</f>
        <v>54</v>
      </c>
      <c r="E100" s="58">
        <f>Historicals!E173</f>
        <v>56</v>
      </c>
      <c r="F100" s="58">
        <f>Historicals!F173</f>
        <v>50</v>
      </c>
      <c r="G100" s="58">
        <f>Historicals!G173</f>
        <v>44</v>
      </c>
      <c r="H100" s="58">
        <f>Historicals!H173</f>
        <v>46</v>
      </c>
      <c r="I100" s="58">
        <f>Historicals!I173</f>
        <v>41</v>
      </c>
      <c r="J100" s="58">
        <f>+J103*J110</f>
        <v>62.054514851485152</v>
      </c>
      <c r="K100" s="58">
        <f t="shared" ref="K100:N100" si="149">+K103*K110</f>
        <v>63.11929702970297</v>
      </c>
      <c r="L100" s="58">
        <f t="shared" si="149"/>
        <v>64.45834891089109</v>
      </c>
      <c r="M100" s="58">
        <f t="shared" si="149"/>
        <v>66.065004544554455</v>
      </c>
      <c r="N100" s="58">
        <f t="shared" si="149"/>
        <v>67.934474988613871</v>
      </c>
      <c r="O100" t="s">
        <v>220</v>
      </c>
    </row>
    <row r="101" spans="1:15" x14ac:dyDescent="0.2">
      <c r="A101" s="58" t="s">
        <v>129</v>
      </c>
      <c r="B101" s="59" t="str">
        <f t="shared" ref="B101:H101" si="150">+IFERROR(B100/A100-1,"nm")</f>
        <v>nm</v>
      </c>
      <c r="C101" s="59">
        <f t="shared" si="150"/>
        <v>4.3478260869565188E-2</v>
      </c>
      <c r="D101" s="59">
        <f t="shared" si="150"/>
        <v>0.125</v>
      </c>
      <c r="E101" s="59">
        <f t="shared" si="150"/>
        <v>3.7037037037036979E-2</v>
      </c>
      <c r="F101" s="59">
        <f t="shared" si="150"/>
        <v>-0.1071428571428571</v>
      </c>
      <c r="G101" s="59">
        <f t="shared" si="150"/>
        <v>-0.12</v>
      </c>
      <c r="H101" s="59">
        <f t="shared" si="150"/>
        <v>4.5454545454545414E-2</v>
      </c>
      <c r="I101" s="59">
        <f>+IFERROR(I100/H100-1,"nm")</f>
        <v>-0.10869565217391308</v>
      </c>
      <c r="J101" s="59">
        <f t="shared" ref="J101:N101" si="151">+IFERROR(J100/I100-1,"nm")</f>
        <v>0.51352475247524754</v>
      </c>
      <c r="K101" s="59">
        <f t="shared" si="151"/>
        <v>1.7158818834796419E-2</v>
      </c>
      <c r="L101" s="59">
        <f t="shared" si="151"/>
        <v>2.1214619683707525E-2</v>
      </c>
      <c r="M101" s="59">
        <f t="shared" si="151"/>
        <v>2.4925485384126755E-2</v>
      </c>
      <c r="N101" s="59">
        <f t="shared" si="151"/>
        <v>2.8297439119960188E-2</v>
      </c>
    </row>
    <row r="102" spans="1:15" x14ac:dyDescent="0.2">
      <c r="A102" s="58" t="s">
        <v>133</v>
      </c>
      <c r="B102" s="59">
        <f t="shared" ref="B102:I102" si="152">+IFERROR(B100/B$21,"nm")</f>
        <v>3.3478893740902477E-3</v>
      </c>
      <c r="C102" s="59">
        <f t="shared" si="152"/>
        <v>3.251151449471688E-3</v>
      </c>
      <c r="D102" s="59">
        <f t="shared" si="152"/>
        <v>3.5488958990536278E-3</v>
      </c>
      <c r="E102" s="59">
        <f t="shared" si="152"/>
        <v>3.7697744867048132E-3</v>
      </c>
      <c r="F102" s="59">
        <f t="shared" si="152"/>
        <v>3.1442585838259338E-3</v>
      </c>
      <c r="G102" s="59">
        <f t="shared" si="152"/>
        <v>3.0378348522507597E-3</v>
      </c>
      <c r="H102" s="59">
        <f t="shared" si="152"/>
        <v>2.6776878747307759E-3</v>
      </c>
      <c r="I102" s="59">
        <f t="shared" si="152"/>
        <v>2.2339671988230807E-3</v>
      </c>
      <c r="J102" s="59">
        <f t="shared" ref="J102:N102" si="153">+IFERROR(J100/J$21,"nm")</f>
        <v>3.2453524939796761E-3</v>
      </c>
      <c r="K102" s="59">
        <f t="shared" si="153"/>
        <v>3.165598527548124E-3</v>
      </c>
      <c r="L102" s="59">
        <f t="shared" si="153"/>
        <v>3.0969689438059677E-3</v>
      </c>
      <c r="M102" s="59">
        <f t="shared" si="153"/>
        <v>3.0373498601035092E-3</v>
      </c>
      <c r="N102" s="59">
        <f t="shared" si="153"/>
        <v>2.9848124286698504E-3</v>
      </c>
    </row>
    <row r="103" spans="1:15" x14ac:dyDescent="0.2">
      <c r="A103" s="58" t="s">
        <v>140</v>
      </c>
      <c r="B103" s="59">
        <f t="shared" ref="B103:H103" si="154">+IFERROR(B100/B110,"nm")</f>
        <v>0.18110236220472442</v>
      </c>
      <c r="C103" s="59">
        <f t="shared" si="154"/>
        <v>0.20512820512820512</v>
      </c>
      <c r="D103" s="59">
        <f t="shared" si="154"/>
        <v>0.24</v>
      </c>
      <c r="E103" s="59">
        <f t="shared" si="154"/>
        <v>0.21875</v>
      </c>
      <c r="F103" s="59">
        <f t="shared" si="154"/>
        <v>0.2109704641350211</v>
      </c>
      <c r="G103" s="59">
        <f t="shared" si="154"/>
        <v>0.20560747663551401</v>
      </c>
      <c r="H103" s="59">
        <f t="shared" si="154"/>
        <v>0.15972222222222221</v>
      </c>
      <c r="I103" s="59">
        <f>+IFERROR(I100/I110,"nm")</f>
        <v>0.13531353135313531</v>
      </c>
      <c r="J103" s="59">
        <f>+I103</f>
        <v>0.13531353135313531</v>
      </c>
      <c r="K103" s="59">
        <f t="shared" ref="K103:N103" si="155">+J103</f>
        <v>0.13531353135313531</v>
      </c>
      <c r="L103" s="59">
        <f t="shared" si="155"/>
        <v>0.13531353135313531</v>
      </c>
      <c r="M103" s="59">
        <f t="shared" si="155"/>
        <v>0.13531353135313531</v>
      </c>
      <c r="N103" s="59">
        <f t="shared" si="155"/>
        <v>0.13531353135313531</v>
      </c>
    </row>
    <row r="104" spans="1:15" x14ac:dyDescent="0.2">
      <c r="A104" s="58" t="s">
        <v>134</v>
      </c>
      <c r="B104" s="58">
        <f>Historicals!B140</f>
        <v>993</v>
      </c>
      <c r="C104" s="58">
        <f>Historicals!C140</f>
        <v>1372</v>
      </c>
      <c r="D104" s="58">
        <f>Historicals!D140</f>
        <v>1507</v>
      </c>
      <c r="E104" s="58">
        <f>Historicals!E140</f>
        <v>1807</v>
      </c>
      <c r="F104" s="58">
        <f>Historicals!F140</f>
        <v>2376</v>
      </c>
      <c r="G104" s="58">
        <f>Historicals!G140</f>
        <v>2490</v>
      </c>
      <c r="H104" s="58">
        <f>Historicals!H140</f>
        <v>3243</v>
      </c>
      <c r="I104" s="58">
        <f>Historicals!I140</f>
        <v>2365</v>
      </c>
      <c r="J104" s="58">
        <f>+J97-J100</f>
        <v>2613.1004851485145</v>
      </c>
      <c r="K104" s="58">
        <f t="shared" ref="K104:N104" si="156">+K97-K100</f>
        <v>2657.938202970297</v>
      </c>
      <c r="L104" s="58">
        <f t="shared" si="156"/>
        <v>2714.3253510891091</v>
      </c>
      <c r="M104" s="58">
        <f t="shared" si="156"/>
        <v>2781.9812279554458</v>
      </c>
      <c r="N104" s="58">
        <f t="shared" si="156"/>
        <v>2860.7041723863863</v>
      </c>
    </row>
    <row r="105" spans="1:15" x14ac:dyDescent="0.2">
      <c r="A105" s="58" t="s">
        <v>129</v>
      </c>
      <c r="B105" s="59" t="str">
        <f t="shared" ref="B105:H105" si="157">+IFERROR(B104/A104-1,"nm")</f>
        <v>nm</v>
      </c>
      <c r="C105" s="59">
        <f t="shared" si="157"/>
        <v>0.38167170191339372</v>
      </c>
      <c r="D105" s="59">
        <f t="shared" si="157"/>
        <v>9.8396501457725938E-2</v>
      </c>
      <c r="E105" s="59">
        <f t="shared" si="157"/>
        <v>0.19907100199071004</v>
      </c>
      <c r="F105" s="59">
        <f t="shared" si="157"/>
        <v>0.31488655229662421</v>
      </c>
      <c r="G105" s="59">
        <f t="shared" si="157"/>
        <v>4.7979797979798011E-2</v>
      </c>
      <c r="H105" s="59">
        <f t="shared" si="157"/>
        <v>0.30240963855421676</v>
      </c>
      <c r="I105" s="59">
        <f>+IFERROR(I104/H104-1,"nm")</f>
        <v>-0.27073697193956214</v>
      </c>
      <c r="J105" s="59">
        <f>+IFERROR(J104/I104-1,"nm")</f>
        <v>0.10490506771607389</v>
      </c>
      <c r="K105" s="59">
        <f t="shared" ref="K105:N105" si="158">+IFERROR(K104/J104-1,"nm")</f>
        <v>1.7158818834796641E-2</v>
      </c>
      <c r="L105" s="59">
        <f t="shared" si="158"/>
        <v>2.1214619683707525E-2</v>
      </c>
      <c r="M105" s="59">
        <f t="shared" si="158"/>
        <v>2.4925485384126977E-2</v>
      </c>
      <c r="N105" s="59">
        <f t="shared" si="158"/>
        <v>2.8297439119959966E-2</v>
      </c>
    </row>
    <row r="106" spans="1:15" x14ac:dyDescent="0.2">
      <c r="A106" s="58" t="s">
        <v>131</v>
      </c>
      <c r="B106" s="59">
        <f t="shared" ref="B106:H106" si="159">+IFERROR(B104/B$83,"nm")</f>
        <v>0.3237691555265732</v>
      </c>
      <c r="C106" s="59">
        <f t="shared" si="159"/>
        <v>0.36248348745046233</v>
      </c>
      <c r="D106" s="59">
        <f t="shared" si="159"/>
        <v>0.35567618598064671</v>
      </c>
      <c r="E106" s="59">
        <f t="shared" si="159"/>
        <v>0.35196727697701596</v>
      </c>
      <c r="F106" s="59">
        <f t="shared" si="159"/>
        <v>0.38273195876288657</v>
      </c>
      <c r="G106" s="59">
        <f t="shared" si="159"/>
        <v>0.37281030094325496</v>
      </c>
      <c r="H106" s="59">
        <f t="shared" si="159"/>
        <v>0.39119420989143544</v>
      </c>
      <c r="I106" s="59">
        <f>+IFERROR(I104/I$83,"nm")</f>
        <v>0.31336955081489332</v>
      </c>
      <c r="J106" s="59">
        <f t="shared" ref="J106:N106" si="160">+IFERROR(J104/J$21,"nm")</f>
        <v>0.13666100197209535</v>
      </c>
      <c r="K106" s="59">
        <f t="shared" si="160"/>
        <v>0.13330258189784966</v>
      </c>
      <c r="L106" s="59">
        <f t="shared" si="160"/>
        <v>0.13041260686539033</v>
      </c>
      <c r="M106" s="59">
        <f t="shared" si="160"/>
        <v>0.12790206179191974</v>
      </c>
      <c r="N106" s="59">
        <f t="shared" si="160"/>
        <v>0.12568972336825601</v>
      </c>
    </row>
    <row r="107" spans="1:15" x14ac:dyDescent="0.2">
      <c r="A107" s="58" t="s">
        <v>135</v>
      </c>
      <c r="B107" s="58">
        <f>Historicals!B162</f>
        <v>69</v>
      </c>
      <c r="C107" s="58">
        <f>Historicals!C162</f>
        <v>44</v>
      </c>
      <c r="D107" s="58">
        <f>Historicals!D162</f>
        <v>51</v>
      </c>
      <c r="E107" s="58">
        <f>Historicals!E162</f>
        <v>76</v>
      </c>
      <c r="F107" s="58">
        <f>Historicals!F162</f>
        <v>49</v>
      </c>
      <c r="G107" s="58">
        <f>Historicals!G162</f>
        <v>28</v>
      </c>
      <c r="H107" s="58">
        <f>Historicals!H162</f>
        <v>94</v>
      </c>
      <c r="I107" s="58">
        <f>Historicals!I162</f>
        <v>78</v>
      </c>
      <c r="J107" s="58">
        <f>+J83*J109</f>
        <v>78.995282893865109</v>
      </c>
      <c r="K107" s="58">
        <f t="shared" ref="K107:N107" si="161">+K83*K109</f>
        <v>80.350748641844433</v>
      </c>
      <c r="L107" s="58">
        <f t="shared" si="161"/>
        <v>82.055359215582357</v>
      </c>
      <c r="M107" s="58">
        <f t="shared" si="161"/>
        <v>84.100628872399639</v>
      </c>
      <c r="N107" s="58">
        <f t="shared" si="161"/>
        <v>86.480461297866725</v>
      </c>
    </row>
    <row r="108" spans="1:15" x14ac:dyDescent="0.2">
      <c r="A108" s="58" t="s">
        <v>129</v>
      </c>
      <c r="B108" s="59" t="str">
        <f t="shared" ref="B108:H108" si="162">+IFERROR(B107/A107-1,"nm")</f>
        <v>nm</v>
      </c>
      <c r="C108" s="59">
        <f t="shared" si="162"/>
        <v>-0.3623188405797102</v>
      </c>
      <c r="D108" s="59">
        <f t="shared" si="162"/>
        <v>0.15909090909090917</v>
      </c>
      <c r="E108" s="59">
        <f t="shared" si="162"/>
        <v>0.49019607843137258</v>
      </c>
      <c r="F108" s="59">
        <f t="shared" si="162"/>
        <v>-0.35526315789473684</v>
      </c>
      <c r="G108" s="59">
        <f t="shared" si="162"/>
        <v>-0.4285714285714286</v>
      </c>
      <c r="H108" s="59">
        <f t="shared" si="162"/>
        <v>2.3571428571428572</v>
      </c>
      <c r="I108" s="59">
        <f>+IFERROR(I107/H107-1,"nm")</f>
        <v>-0.17021276595744683</v>
      </c>
      <c r="J108" s="59">
        <v>0</v>
      </c>
      <c r="K108" s="59">
        <f t="shared" ref="K108:N108" si="163">+IFERROR(K107/J107-1,"nm")</f>
        <v>1.7158818834796419E-2</v>
      </c>
      <c r="L108" s="59">
        <f t="shared" si="163"/>
        <v>2.1214619683707747E-2</v>
      </c>
      <c r="M108" s="59">
        <f t="shared" si="163"/>
        <v>2.4925485384126977E-2</v>
      </c>
      <c r="N108" s="59">
        <f t="shared" si="163"/>
        <v>2.8297439119960188E-2</v>
      </c>
    </row>
    <row r="109" spans="1:15" x14ac:dyDescent="0.2">
      <c r="A109" s="58" t="s">
        <v>133</v>
      </c>
      <c r="B109" s="59">
        <f t="shared" ref="B109:H109" si="164">+IFERROR(B107/B$83,"nm")</f>
        <v>2.2497554613628953E-2</v>
      </c>
      <c r="C109" s="59">
        <f t="shared" si="164"/>
        <v>1.1624834874504624E-2</v>
      </c>
      <c r="D109" s="59">
        <f t="shared" si="164"/>
        <v>1.2036818503658248E-2</v>
      </c>
      <c r="E109" s="59">
        <f t="shared" si="164"/>
        <v>1.4803272302298403E-2</v>
      </c>
      <c r="F109" s="59">
        <f t="shared" si="164"/>
        <v>7.8930412371134018E-3</v>
      </c>
      <c r="G109" s="59">
        <f t="shared" si="164"/>
        <v>4.1922443479562805E-3</v>
      </c>
      <c r="H109" s="59">
        <f t="shared" si="164"/>
        <v>1.1338962605548853E-2</v>
      </c>
      <c r="I109" s="59">
        <f>+IFERROR(I107/I$83,"nm")</f>
        <v>1.0335232542732211E-2</v>
      </c>
      <c r="J109" s="59">
        <f>+I109</f>
        <v>1.0335232542732211E-2</v>
      </c>
      <c r="K109" s="59">
        <f t="shared" ref="K109:N109" si="165">+J109</f>
        <v>1.0335232542732211E-2</v>
      </c>
      <c r="L109" s="59">
        <f t="shared" si="165"/>
        <v>1.0335232542732211E-2</v>
      </c>
      <c r="M109" s="59">
        <f t="shared" si="165"/>
        <v>1.0335232542732211E-2</v>
      </c>
      <c r="N109" s="59">
        <f t="shared" si="165"/>
        <v>1.0335232542732211E-2</v>
      </c>
    </row>
    <row r="110" spans="1:15" x14ac:dyDescent="0.2">
      <c r="A110" s="58" t="s">
        <v>141</v>
      </c>
      <c r="B110" s="58">
        <f>Historicals!B151</f>
        <v>254</v>
      </c>
      <c r="C110" s="58">
        <f>Historicals!C151</f>
        <v>234</v>
      </c>
      <c r="D110" s="58">
        <f>Historicals!D151</f>
        <v>225</v>
      </c>
      <c r="E110" s="58">
        <f>Historicals!E151</f>
        <v>256</v>
      </c>
      <c r="F110" s="58">
        <f>Historicals!F151</f>
        <v>237</v>
      </c>
      <c r="G110" s="58">
        <f>Historicals!G151</f>
        <v>214</v>
      </c>
      <c r="H110" s="58">
        <f>Historicals!H151</f>
        <v>288</v>
      </c>
      <c r="I110" s="58">
        <f>Historicals!I151</f>
        <v>303</v>
      </c>
      <c r="J110" s="58">
        <f>+J83*J112</f>
        <v>458.59800000000001</v>
      </c>
      <c r="K110" s="58">
        <f t="shared" ref="K110:N110" si="166">+K83*K112</f>
        <v>466.46699999999998</v>
      </c>
      <c r="L110" s="58">
        <f t="shared" si="166"/>
        <v>476.36292000000003</v>
      </c>
      <c r="M110" s="58">
        <f t="shared" si="166"/>
        <v>488.23649700000004</v>
      </c>
      <c r="N110" s="58">
        <f t="shared" si="166"/>
        <v>502.05233955000011</v>
      </c>
    </row>
    <row r="111" spans="1:15" x14ac:dyDescent="0.2">
      <c r="A111" s="58" t="s">
        <v>129</v>
      </c>
      <c r="B111" s="59" t="str">
        <f t="shared" ref="B111:H111" si="167">+IFERROR(B110/A110-1,"nm")</f>
        <v>nm</v>
      </c>
      <c r="C111" s="59">
        <f t="shared" si="167"/>
        <v>-7.8740157480314932E-2</v>
      </c>
      <c r="D111" s="59">
        <f t="shared" si="167"/>
        <v>-3.8461538461538436E-2</v>
      </c>
      <c r="E111" s="59">
        <f t="shared" si="167"/>
        <v>0.13777777777777778</v>
      </c>
      <c r="F111" s="59">
        <f t="shared" si="167"/>
        <v>-7.421875E-2</v>
      </c>
      <c r="G111" s="59">
        <f t="shared" si="167"/>
        <v>-9.7046413502109741E-2</v>
      </c>
      <c r="H111" s="59">
        <f t="shared" si="167"/>
        <v>0.34579439252336441</v>
      </c>
      <c r="I111" s="59">
        <f>+IFERROR(I110/H110-1,"nm")</f>
        <v>5.2083333333333259E-2</v>
      </c>
      <c r="J111" s="59">
        <f>+J112+J113</f>
        <v>0.06</v>
      </c>
      <c r="K111" s="59">
        <f t="shared" ref="K111:N111" si="168">+K112+K113</f>
        <v>0.06</v>
      </c>
      <c r="L111" s="59">
        <f t="shared" si="168"/>
        <v>0.06</v>
      </c>
      <c r="M111" s="59">
        <f t="shared" si="168"/>
        <v>0.06</v>
      </c>
      <c r="N111" s="59">
        <f t="shared" si="168"/>
        <v>0.06</v>
      </c>
    </row>
    <row r="112" spans="1:15" x14ac:dyDescent="0.2">
      <c r="A112" s="58" t="s">
        <v>133</v>
      </c>
      <c r="B112" s="59">
        <f t="shared" ref="B112:H112" si="169">+IFERROR(B110/B$83,"nm")</f>
        <v>8.2817085099445714E-2</v>
      </c>
      <c r="C112" s="59">
        <f t="shared" si="169"/>
        <v>6.1822985468956405E-2</v>
      </c>
      <c r="D112" s="59">
        <f t="shared" si="169"/>
        <v>5.31036110455511E-2</v>
      </c>
      <c r="E112" s="59">
        <f t="shared" si="169"/>
        <v>4.9863654070899883E-2</v>
      </c>
      <c r="F112" s="59">
        <f t="shared" si="169"/>
        <v>3.817654639175258E-2</v>
      </c>
      <c r="G112" s="59">
        <f t="shared" si="169"/>
        <v>3.2040724659380147E-2</v>
      </c>
      <c r="H112" s="59">
        <f t="shared" si="169"/>
        <v>3.4740651387213509E-2</v>
      </c>
      <c r="I112" s="59">
        <f>+IFERROR(I110/I$83,"nm")</f>
        <v>4.0148403339075128E-2</v>
      </c>
      <c r="J112" s="59">
        <v>0.06</v>
      </c>
      <c r="K112" s="59">
        <f t="shared" ref="K112:N112" si="170">+J112</f>
        <v>0.06</v>
      </c>
      <c r="L112" s="59">
        <f t="shared" si="170"/>
        <v>0.06</v>
      </c>
      <c r="M112" s="59">
        <f t="shared" si="170"/>
        <v>0.06</v>
      </c>
      <c r="N112" s="59">
        <f t="shared" si="170"/>
        <v>0.06</v>
      </c>
    </row>
    <row r="113" spans="1:15" x14ac:dyDescent="0.2">
      <c r="A113" s="62" t="s">
        <v>210</v>
      </c>
      <c r="B113" s="60"/>
      <c r="C113" s="60"/>
      <c r="D113" s="60"/>
      <c r="E113" s="60"/>
      <c r="F113" s="60"/>
      <c r="G113" s="60"/>
      <c r="H113" s="60"/>
      <c r="I113" s="60"/>
      <c r="J113" s="61"/>
      <c r="K113" s="61"/>
      <c r="L113" s="61"/>
      <c r="M113" s="61"/>
      <c r="N113" s="61"/>
    </row>
    <row r="114" spans="1:15" x14ac:dyDescent="0.2">
      <c r="A114" s="58" t="s">
        <v>136</v>
      </c>
      <c r="B114">
        <f>Historicals!B123</f>
        <v>0</v>
      </c>
      <c r="C114">
        <f>Historicals!C123</f>
        <v>0</v>
      </c>
      <c r="D114">
        <f>Historicals!D123</f>
        <v>4737</v>
      </c>
      <c r="E114">
        <f>Historicals!E123</f>
        <v>5166</v>
      </c>
      <c r="F114">
        <f>Historicals!F123</f>
        <v>5254</v>
      </c>
      <c r="G114">
        <f>Historicals!G123</f>
        <v>5028</v>
      </c>
      <c r="H114">
        <f>Historicals!H123</f>
        <v>5343</v>
      </c>
      <c r="I114">
        <f>Historicals!I123</f>
        <v>5955</v>
      </c>
      <c r="J114" s="58">
        <f>+SUM(J116+J120+J124)</f>
        <v>7095.92</v>
      </c>
      <c r="K114" s="58">
        <f t="shared" ref="K114:N114" si="171">+SUM(K116+K120+K124)</f>
        <v>8462.9875999999986</v>
      </c>
      <c r="L114" s="58">
        <f t="shared" si="171"/>
        <v>10102.933807999998</v>
      </c>
      <c r="M114" s="58">
        <f t="shared" si="171"/>
        <v>12072.657349639998</v>
      </c>
      <c r="N114" s="58">
        <f t="shared" si="171"/>
        <v>14441.578215771196</v>
      </c>
    </row>
    <row r="115" spans="1:15" x14ac:dyDescent="0.2">
      <c r="A115" s="58" t="s">
        <v>129</v>
      </c>
      <c r="B115" s="59" t="str">
        <f t="shared" ref="B115:H115" si="172">+IFERROR(B114/A114-1,"nm")</f>
        <v>nm</v>
      </c>
      <c r="C115" s="59" t="str">
        <f t="shared" si="172"/>
        <v>nm</v>
      </c>
      <c r="D115" s="59" t="str">
        <f t="shared" si="172"/>
        <v>nm</v>
      </c>
      <c r="E115" s="59">
        <f t="shared" si="172"/>
        <v>9.0563647878403986E-2</v>
      </c>
      <c r="F115" s="59">
        <f t="shared" si="172"/>
        <v>1.7034456058846237E-2</v>
      </c>
      <c r="G115" s="59">
        <f t="shared" si="172"/>
        <v>-4.3014845831747195E-2</v>
      </c>
      <c r="H115" s="59">
        <f t="shared" si="172"/>
        <v>6.2649164677804237E-2</v>
      </c>
      <c r="I115" s="59">
        <f>+IFERROR(I114/H114-1,"nm")</f>
        <v>0.11454239191465465</v>
      </c>
      <c r="J115" s="59">
        <f t="shared" ref="J115:N115" si="173">+IFERROR(J114/I114-1,"nm")</f>
        <v>0.19159026028547443</v>
      </c>
      <c r="K115" s="59">
        <f t="shared" si="173"/>
        <v>0.19265544143676916</v>
      </c>
      <c r="L115" s="59">
        <f t="shared" si="173"/>
        <v>0.19377863770000081</v>
      </c>
      <c r="M115" s="59">
        <f t="shared" si="173"/>
        <v>0.19496550002933577</v>
      </c>
      <c r="N115" s="59">
        <f t="shared" si="173"/>
        <v>0.19622199135816931</v>
      </c>
    </row>
    <row r="116" spans="1:15" x14ac:dyDescent="0.2">
      <c r="A116" s="58" t="s">
        <v>113</v>
      </c>
      <c r="B116" s="58">
        <f>Historicals!B124</f>
        <v>0</v>
      </c>
      <c r="C116" s="58">
        <f>Historicals!C124</f>
        <v>0</v>
      </c>
      <c r="D116" s="58">
        <f>Historicals!D124</f>
        <v>3285</v>
      </c>
      <c r="E116" s="58">
        <f>Historicals!E124</f>
        <v>3575</v>
      </c>
      <c r="F116" s="58">
        <f>Historicals!F124</f>
        <v>3622</v>
      </c>
      <c r="G116" s="58">
        <f>Historicals!G124</f>
        <v>3449</v>
      </c>
      <c r="H116" s="58">
        <f>Historicals!H124</f>
        <v>3659</v>
      </c>
      <c r="I116" s="58">
        <f>Historicals!I124</f>
        <v>4111</v>
      </c>
      <c r="J116" s="58">
        <f>+I116*(1+J117)</f>
        <v>4933.2</v>
      </c>
      <c r="K116" s="58">
        <f t="shared" ref="K116:N116" si="174">+J116*(1+K117)</f>
        <v>5919.8399999999992</v>
      </c>
      <c r="L116" s="58">
        <f t="shared" si="174"/>
        <v>7103.8079999999991</v>
      </c>
      <c r="M116" s="58">
        <f t="shared" si="174"/>
        <v>8524.5695999999989</v>
      </c>
      <c r="N116" s="58">
        <f t="shared" si="174"/>
        <v>10229.483519999998</v>
      </c>
    </row>
    <row r="117" spans="1:15" x14ac:dyDescent="0.2">
      <c r="A117" s="58" t="s">
        <v>129</v>
      </c>
      <c r="B117" s="59" t="str">
        <f t="shared" ref="B117:H117" si="175">+IFERROR(B116/A116-1,"nm")</f>
        <v>nm</v>
      </c>
      <c r="C117" s="59" t="str">
        <f t="shared" si="175"/>
        <v>nm</v>
      </c>
      <c r="D117" s="59" t="str">
        <f t="shared" si="175"/>
        <v>nm</v>
      </c>
      <c r="E117" s="59">
        <f t="shared" si="175"/>
        <v>8.8280060882800715E-2</v>
      </c>
      <c r="F117" s="59">
        <f t="shared" si="175"/>
        <v>1.3146853146853044E-2</v>
      </c>
      <c r="G117" s="59">
        <f t="shared" si="175"/>
        <v>-4.7763666482606326E-2</v>
      </c>
      <c r="H117" s="59">
        <f t="shared" si="175"/>
        <v>6.0887213685126174E-2</v>
      </c>
      <c r="I117" s="59">
        <f>+IFERROR(I116/H116-1,"nm")</f>
        <v>0.12353101940420874</v>
      </c>
      <c r="J117" s="59">
        <f>+J118+J119</f>
        <v>0.2</v>
      </c>
      <c r="K117" s="59">
        <f t="shared" ref="K117:N117" si="176">+K118+K119</f>
        <v>0.2</v>
      </c>
      <c r="L117" s="59">
        <f t="shared" si="176"/>
        <v>0.2</v>
      </c>
      <c r="M117" s="59">
        <f t="shared" si="176"/>
        <v>0.2</v>
      </c>
      <c r="N117" s="59">
        <f t="shared" si="176"/>
        <v>0.2</v>
      </c>
    </row>
    <row r="118" spans="1:15" x14ac:dyDescent="0.2">
      <c r="A118" s="58" t="s">
        <v>137</v>
      </c>
      <c r="B118" s="59">
        <f>Historicals!B196</f>
        <v>0</v>
      </c>
      <c r="C118" s="59">
        <f>Historicals!C196</f>
        <v>0</v>
      </c>
      <c r="D118" s="59">
        <f>Historicals!D196</f>
        <v>0</v>
      </c>
      <c r="E118" s="59">
        <f>Historicals!E196</f>
        <v>0.09</v>
      </c>
      <c r="F118" s="59">
        <f>Historicals!F196</f>
        <v>0.12</v>
      </c>
      <c r="G118" s="59">
        <f>Historicals!G196</f>
        <v>0</v>
      </c>
      <c r="H118" s="59">
        <f>Historicals!H196</f>
        <v>0</v>
      </c>
      <c r="I118" s="59">
        <f>Historicals!I196</f>
        <v>0.17</v>
      </c>
      <c r="J118" s="59">
        <v>0.2</v>
      </c>
      <c r="K118" s="59">
        <f t="shared" ref="K118:N119" si="177">+J118</f>
        <v>0.2</v>
      </c>
      <c r="L118" s="59">
        <f t="shared" si="177"/>
        <v>0.2</v>
      </c>
      <c r="M118" s="59">
        <f t="shared" si="177"/>
        <v>0.2</v>
      </c>
      <c r="N118" s="59">
        <f t="shared" si="177"/>
        <v>0.2</v>
      </c>
      <c r="O118" t="s">
        <v>214</v>
      </c>
    </row>
    <row r="119" spans="1:15" x14ac:dyDescent="0.2">
      <c r="A119" s="58" t="s">
        <v>138</v>
      </c>
      <c r="B119" s="59" t="str">
        <f t="shared" ref="B119:H119" si="178">+IFERROR(B117-B118,"nm")</f>
        <v>nm</v>
      </c>
      <c r="C119" s="59" t="str">
        <f t="shared" si="178"/>
        <v>nm</v>
      </c>
      <c r="D119" s="59" t="str">
        <f t="shared" si="178"/>
        <v>nm</v>
      </c>
      <c r="E119" s="59">
        <f t="shared" si="178"/>
        <v>-1.7199391171992817E-3</v>
      </c>
      <c r="F119" s="59">
        <f t="shared" si="178"/>
        <v>-0.10685314685314695</v>
      </c>
      <c r="G119" s="59">
        <f t="shared" si="178"/>
        <v>-4.7763666482606326E-2</v>
      </c>
      <c r="H119" s="59">
        <f t="shared" si="178"/>
        <v>6.0887213685126174E-2</v>
      </c>
      <c r="I119" s="59">
        <f>+IFERROR(I117-I118,"nm")</f>
        <v>-4.646898059579127E-2</v>
      </c>
      <c r="J119" s="59">
        <v>0</v>
      </c>
      <c r="K119" s="59">
        <f t="shared" si="177"/>
        <v>0</v>
      </c>
      <c r="L119" s="59">
        <f t="shared" si="177"/>
        <v>0</v>
      </c>
      <c r="M119" s="59">
        <f t="shared" si="177"/>
        <v>0</v>
      </c>
      <c r="N119" s="59">
        <f t="shared" si="177"/>
        <v>0</v>
      </c>
    </row>
    <row r="120" spans="1:15" x14ac:dyDescent="0.2">
      <c r="A120" s="58" t="s">
        <v>114</v>
      </c>
      <c r="B120" s="58">
        <f>Historicals!B125</f>
        <v>0</v>
      </c>
      <c r="C120" s="58">
        <f>Historicals!C125</f>
        <v>0</v>
      </c>
      <c r="D120" s="58">
        <f>Historicals!D125</f>
        <v>1185</v>
      </c>
      <c r="E120" s="58">
        <f>Historicals!E125</f>
        <v>1347</v>
      </c>
      <c r="F120" s="58">
        <f>Historicals!F125</f>
        <v>1395</v>
      </c>
      <c r="G120" s="58">
        <f>Historicals!G125</f>
        <v>1365</v>
      </c>
      <c r="H120" s="58">
        <f>Historicals!H125</f>
        <v>1494</v>
      </c>
      <c r="I120" s="58">
        <f>Historicals!I125</f>
        <v>1610</v>
      </c>
      <c r="J120" s="58">
        <f>+I120*(1+J121)</f>
        <v>1851.4999999999998</v>
      </c>
      <c r="K120" s="58">
        <f t="shared" ref="K120:N120" si="179">+J120*(1+K121)</f>
        <v>2129.2249999999995</v>
      </c>
      <c r="L120" s="58">
        <f t="shared" si="179"/>
        <v>2448.608749999999</v>
      </c>
      <c r="M120" s="58">
        <f t="shared" si="179"/>
        <v>2815.9000624999985</v>
      </c>
      <c r="N120" s="58">
        <f t="shared" si="179"/>
        <v>3238.2850718749983</v>
      </c>
    </row>
    <row r="121" spans="1:15" x14ac:dyDescent="0.2">
      <c r="A121" s="58" t="s">
        <v>129</v>
      </c>
      <c r="B121" s="59" t="str">
        <f t="shared" ref="B121:H121" si="180">+IFERROR(B120/A120-1,"nm")</f>
        <v>nm</v>
      </c>
      <c r="C121" s="59" t="str">
        <f t="shared" si="180"/>
        <v>nm</v>
      </c>
      <c r="D121" s="59" t="str">
        <f t="shared" si="180"/>
        <v>nm</v>
      </c>
      <c r="E121" s="59">
        <f t="shared" si="180"/>
        <v>0.13670886075949373</v>
      </c>
      <c r="F121" s="59">
        <f t="shared" si="180"/>
        <v>3.563474387527843E-2</v>
      </c>
      <c r="G121" s="59">
        <f t="shared" si="180"/>
        <v>-2.1505376344086002E-2</v>
      </c>
      <c r="H121" s="59">
        <f t="shared" si="180"/>
        <v>9.4505494505494614E-2</v>
      </c>
      <c r="I121" s="59">
        <f>+IFERROR(I120/H120-1,"nm")</f>
        <v>7.7643908969210251E-2</v>
      </c>
      <c r="J121" s="59">
        <f>+J122+J123</f>
        <v>0.15</v>
      </c>
      <c r="K121" s="59">
        <f t="shared" ref="K121:N121" si="181">+K122+K123</f>
        <v>0.15</v>
      </c>
      <c r="L121" s="59">
        <f t="shared" si="181"/>
        <v>0.15</v>
      </c>
      <c r="M121" s="59">
        <f t="shared" si="181"/>
        <v>0.15</v>
      </c>
      <c r="N121" s="59">
        <f t="shared" si="181"/>
        <v>0.15</v>
      </c>
    </row>
    <row r="122" spans="1:15" x14ac:dyDescent="0.2">
      <c r="A122" s="58" t="s">
        <v>137</v>
      </c>
      <c r="B122" s="59">
        <f>Historicals!B197</f>
        <v>0</v>
      </c>
      <c r="C122" s="59">
        <f>Historicals!C197</f>
        <v>0</v>
      </c>
      <c r="D122" s="59">
        <f>Historicals!D197</f>
        <v>0</v>
      </c>
      <c r="E122" s="59">
        <f>Historicals!E197</f>
        <v>0.15</v>
      </c>
      <c r="F122" s="59">
        <f>Historicals!F197</f>
        <v>0.15</v>
      </c>
      <c r="G122" s="59">
        <f>Historicals!G197</f>
        <v>0.03</v>
      </c>
      <c r="H122" s="59">
        <f>Historicals!H197</f>
        <v>0</v>
      </c>
      <c r="I122" s="59">
        <f>Historicals!I197</f>
        <v>0.12</v>
      </c>
      <c r="J122" s="59">
        <v>0.15</v>
      </c>
      <c r="K122" s="59">
        <f t="shared" ref="K122:N123" si="182">+J122</f>
        <v>0.15</v>
      </c>
      <c r="L122" s="59">
        <f t="shared" si="182"/>
        <v>0.15</v>
      </c>
      <c r="M122" s="59">
        <f t="shared" si="182"/>
        <v>0.15</v>
      </c>
      <c r="N122" s="59">
        <f t="shared" si="182"/>
        <v>0.15</v>
      </c>
      <c r="O122" t="s">
        <v>212</v>
      </c>
    </row>
    <row r="123" spans="1:15" x14ac:dyDescent="0.2">
      <c r="A123" s="58" t="s">
        <v>138</v>
      </c>
      <c r="B123" s="59" t="str">
        <f t="shared" ref="B123:H123" si="183">+IFERROR(B121-B122,"nm")</f>
        <v>nm</v>
      </c>
      <c r="C123" s="59" t="str">
        <f t="shared" si="183"/>
        <v>nm</v>
      </c>
      <c r="D123" s="59" t="str">
        <f t="shared" si="183"/>
        <v>nm</v>
      </c>
      <c r="E123" s="59">
        <f t="shared" si="183"/>
        <v>-1.3291139240506261E-2</v>
      </c>
      <c r="F123" s="59">
        <f t="shared" si="183"/>
        <v>-0.11436525612472156</v>
      </c>
      <c r="G123" s="59">
        <f t="shared" si="183"/>
        <v>-5.1505376344086001E-2</v>
      </c>
      <c r="H123" s="59">
        <f t="shared" si="183"/>
        <v>9.4505494505494614E-2</v>
      </c>
      <c r="I123" s="59">
        <f>+IFERROR(I121-I122,"nm")</f>
        <v>-4.2356091030789744E-2</v>
      </c>
      <c r="J123" s="59">
        <v>0</v>
      </c>
      <c r="K123" s="59">
        <f t="shared" si="182"/>
        <v>0</v>
      </c>
      <c r="L123" s="59">
        <f t="shared" si="182"/>
        <v>0</v>
      </c>
      <c r="M123" s="59">
        <f t="shared" si="182"/>
        <v>0</v>
      </c>
      <c r="N123" s="59">
        <f t="shared" si="182"/>
        <v>0</v>
      </c>
    </row>
    <row r="124" spans="1:15" x14ac:dyDescent="0.2">
      <c r="A124" s="58" t="s">
        <v>115</v>
      </c>
      <c r="B124" s="58">
        <f>Historicals!B126</f>
        <v>0</v>
      </c>
      <c r="C124" s="58">
        <f>Historicals!C126</f>
        <v>0</v>
      </c>
      <c r="D124" s="58">
        <f>Historicals!D126</f>
        <v>267</v>
      </c>
      <c r="E124" s="58">
        <f>Historicals!E126</f>
        <v>244</v>
      </c>
      <c r="F124" s="58">
        <f>Historicals!F126</f>
        <v>237</v>
      </c>
      <c r="G124" s="58">
        <f>Historicals!G126</f>
        <v>214</v>
      </c>
      <c r="H124" s="58">
        <f>Historicals!H126</f>
        <v>190</v>
      </c>
      <c r="I124" s="58">
        <f>Historicals!I126</f>
        <v>234</v>
      </c>
      <c r="J124" s="58">
        <f>+I124*(1+J125)</f>
        <v>311.22000000000003</v>
      </c>
      <c r="K124" s="58">
        <f t="shared" ref="K124:N124" si="184">+J124*(1+K125)</f>
        <v>413.92260000000005</v>
      </c>
      <c r="L124" s="58">
        <f t="shared" si="184"/>
        <v>550.51705800000013</v>
      </c>
      <c r="M124" s="58">
        <f t="shared" si="184"/>
        <v>732.18768714000021</v>
      </c>
      <c r="N124" s="58">
        <f t="shared" si="184"/>
        <v>973.80962389620038</v>
      </c>
    </row>
    <row r="125" spans="1:15" x14ac:dyDescent="0.2">
      <c r="A125" s="58" t="s">
        <v>129</v>
      </c>
      <c r="B125" s="59" t="str">
        <f t="shared" ref="B125:H125" si="185">+IFERROR(B124/A124-1,"nm")</f>
        <v>nm</v>
      </c>
      <c r="C125" s="59" t="str">
        <f t="shared" si="185"/>
        <v>nm</v>
      </c>
      <c r="D125" s="59" t="str">
        <f t="shared" si="185"/>
        <v>nm</v>
      </c>
      <c r="E125" s="59">
        <f t="shared" si="185"/>
        <v>-8.6142322097378266E-2</v>
      </c>
      <c r="F125" s="59">
        <f t="shared" si="185"/>
        <v>-2.8688524590163911E-2</v>
      </c>
      <c r="G125" s="59">
        <f t="shared" si="185"/>
        <v>-9.7046413502109741E-2</v>
      </c>
      <c r="H125" s="59">
        <f t="shared" si="185"/>
        <v>-0.11214953271028039</v>
      </c>
      <c r="I125" s="59">
        <f>+IFERROR(I124/H124-1,"nm")</f>
        <v>0.23157894736842111</v>
      </c>
      <c r="J125" s="59">
        <f>+J126+J127</f>
        <v>0.33</v>
      </c>
      <c r="K125" s="59">
        <f t="shared" ref="K125:N125" si="186">+K126+K127</f>
        <v>0.33</v>
      </c>
      <c r="L125" s="59">
        <f t="shared" si="186"/>
        <v>0.33</v>
      </c>
      <c r="M125" s="59">
        <f t="shared" si="186"/>
        <v>0.33</v>
      </c>
      <c r="N125" s="59">
        <f t="shared" si="186"/>
        <v>0.33</v>
      </c>
    </row>
    <row r="126" spans="1:15" x14ac:dyDescent="0.2">
      <c r="A126" s="58" t="s">
        <v>137</v>
      </c>
      <c r="B126" s="59">
        <f>Historicals!B198</f>
        <v>0</v>
      </c>
      <c r="C126" s="59">
        <f>Historicals!C198</f>
        <v>0</v>
      </c>
      <c r="D126" s="59">
        <f>Historicals!D198</f>
        <v>0</v>
      </c>
      <c r="E126" s="59">
        <f>Historicals!E198</f>
        <v>-0.08</v>
      </c>
      <c r="F126" s="59">
        <f>Historicals!F198</f>
        <v>0.08</v>
      </c>
      <c r="G126" s="59">
        <f>Historicals!G198</f>
        <v>-0.04</v>
      </c>
      <c r="H126" s="59">
        <f>Historicals!H198</f>
        <v>0</v>
      </c>
      <c r="I126" s="59">
        <f>Historicals!I198</f>
        <v>0.28000000000000003</v>
      </c>
      <c r="J126" s="59">
        <v>0.33</v>
      </c>
      <c r="K126" s="59">
        <f t="shared" ref="K126:N127" si="187">+J126</f>
        <v>0.33</v>
      </c>
      <c r="L126" s="59">
        <f t="shared" si="187"/>
        <v>0.33</v>
      </c>
      <c r="M126" s="59">
        <f t="shared" si="187"/>
        <v>0.33</v>
      </c>
      <c r="N126" s="59">
        <f t="shared" si="187"/>
        <v>0.33</v>
      </c>
      <c r="O126" t="s">
        <v>213</v>
      </c>
    </row>
    <row r="127" spans="1:15" x14ac:dyDescent="0.2">
      <c r="A127" s="58" t="s">
        <v>138</v>
      </c>
      <c r="B127" s="59" t="str">
        <f t="shared" ref="B127:H127" si="188">+IFERROR(B125-B126,"nm")</f>
        <v>nm</v>
      </c>
      <c r="C127" s="59" t="str">
        <f t="shared" si="188"/>
        <v>nm</v>
      </c>
      <c r="D127" s="59" t="str">
        <f t="shared" si="188"/>
        <v>nm</v>
      </c>
      <c r="E127" s="59">
        <f t="shared" si="188"/>
        <v>-6.1423220973782638E-3</v>
      </c>
      <c r="F127" s="59">
        <f t="shared" si="188"/>
        <v>-0.10868852459016391</v>
      </c>
      <c r="G127" s="59">
        <f t="shared" si="188"/>
        <v>-5.704641350210974E-2</v>
      </c>
      <c r="H127" s="59">
        <f t="shared" si="188"/>
        <v>-0.11214953271028039</v>
      </c>
      <c r="I127" s="59">
        <f>+IFERROR(I125-I126,"nm")</f>
        <v>-4.842105263157892E-2</v>
      </c>
      <c r="J127" s="59">
        <v>0</v>
      </c>
      <c r="K127" s="59">
        <f t="shared" si="187"/>
        <v>0</v>
      </c>
      <c r="L127" s="59">
        <f t="shared" si="187"/>
        <v>0</v>
      </c>
      <c r="M127" s="59">
        <f t="shared" si="187"/>
        <v>0</v>
      </c>
      <c r="N127" s="59">
        <f t="shared" si="187"/>
        <v>0</v>
      </c>
    </row>
    <row r="128" spans="1:15" x14ac:dyDescent="0.2">
      <c r="A128" s="58" t="s">
        <v>130</v>
      </c>
      <c r="B128" s="58">
        <f>B135+B131</f>
        <v>0</v>
      </c>
      <c r="C128" s="58">
        <f t="shared" ref="C128:H128" si="189">C135+C131</f>
        <v>62</v>
      </c>
      <c r="D128" s="58">
        <f t="shared" si="189"/>
        <v>399</v>
      </c>
      <c r="E128" s="58">
        <f t="shared" si="189"/>
        <v>388</v>
      </c>
      <c r="F128" s="58">
        <f t="shared" si="189"/>
        <v>373</v>
      </c>
      <c r="G128" s="58">
        <f t="shared" si="189"/>
        <v>337</v>
      </c>
      <c r="H128" s="58">
        <f t="shared" si="189"/>
        <v>358</v>
      </c>
      <c r="I128" s="58">
        <f>I135+I131</f>
        <v>330</v>
      </c>
      <c r="J128" s="58">
        <f>+J114*J130</f>
        <v>567.67359999999996</v>
      </c>
      <c r="K128" s="58">
        <f>+K114*K130</f>
        <v>677.03900799999985</v>
      </c>
      <c r="L128" s="58">
        <f t="shared" ref="L128:N128" si="190">+L114*L130</f>
        <v>808.2347046399999</v>
      </c>
      <c r="M128" s="58">
        <f t="shared" si="190"/>
        <v>965.81258797119983</v>
      </c>
      <c r="N128" s="58">
        <f t="shared" si="190"/>
        <v>1155.3262572616957</v>
      </c>
      <c r="O128" t="s">
        <v>221</v>
      </c>
    </row>
    <row r="129" spans="1:15" x14ac:dyDescent="0.2">
      <c r="A129" s="58" t="s">
        <v>129</v>
      </c>
      <c r="B129" s="59" t="str">
        <f t="shared" ref="B129:H129" si="191">+IFERROR(B128/A128-1,"nm")</f>
        <v>nm</v>
      </c>
      <c r="C129" s="59" t="str">
        <f t="shared" si="191"/>
        <v>nm</v>
      </c>
      <c r="D129" s="59">
        <f t="shared" si="191"/>
        <v>5.435483870967742</v>
      </c>
      <c r="E129" s="59">
        <f t="shared" si="191"/>
        <v>-2.7568922305764465E-2</v>
      </c>
      <c r="F129" s="59">
        <f t="shared" si="191"/>
        <v>-3.8659793814432963E-2</v>
      </c>
      <c r="G129" s="59">
        <f t="shared" si="191"/>
        <v>-9.6514745308310945E-2</v>
      </c>
      <c r="H129" s="59">
        <f t="shared" si="191"/>
        <v>6.2314540059347223E-2</v>
      </c>
      <c r="I129" s="59">
        <f>+IFERROR(I128/H128-1,"nm")</f>
        <v>-7.8212290502793325E-2</v>
      </c>
      <c r="J129" s="59">
        <f t="shared" ref="J129:N129" si="192">+IFERROR(J128/I128-1,"nm")</f>
        <v>0.72022303030303014</v>
      </c>
      <c r="K129" s="59">
        <f t="shared" si="192"/>
        <v>0.19265544143676916</v>
      </c>
      <c r="L129" s="59">
        <f t="shared" si="192"/>
        <v>0.19377863770000103</v>
      </c>
      <c r="M129" s="59">
        <f t="shared" si="192"/>
        <v>0.19496550002933555</v>
      </c>
      <c r="N129" s="59">
        <f t="shared" si="192"/>
        <v>0.19622199135816931</v>
      </c>
    </row>
    <row r="130" spans="1:15" x14ac:dyDescent="0.2">
      <c r="A130" s="58" t="s">
        <v>131</v>
      </c>
      <c r="B130" s="59" t="str">
        <f t="shared" ref="B130:H130" si="193">+IFERROR(B128/B$114,"nm")</f>
        <v>nm</v>
      </c>
      <c r="C130" s="59" t="str">
        <f t="shared" si="193"/>
        <v>nm</v>
      </c>
      <c r="D130" s="59">
        <f t="shared" si="193"/>
        <v>8.423052564914503E-2</v>
      </c>
      <c r="E130" s="59">
        <f t="shared" si="193"/>
        <v>7.5106465350367788E-2</v>
      </c>
      <c r="F130" s="59">
        <f t="shared" si="193"/>
        <v>7.0993528740007611E-2</v>
      </c>
      <c r="G130" s="59">
        <f t="shared" si="193"/>
        <v>6.7024661893396981E-2</v>
      </c>
      <c r="H130" s="59">
        <f t="shared" si="193"/>
        <v>6.7003556054650942E-2</v>
      </c>
      <c r="I130" s="59">
        <f>+IFERROR(I128/I$114,"nm")</f>
        <v>5.5415617128463476E-2</v>
      </c>
      <c r="J130" s="59">
        <v>0.08</v>
      </c>
      <c r="K130" s="59">
        <f t="shared" ref="K130:N130" si="194">+J130</f>
        <v>0.08</v>
      </c>
      <c r="L130" s="59">
        <f t="shared" si="194"/>
        <v>0.08</v>
      </c>
      <c r="M130" s="59">
        <f t="shared" si="194"/>
        <v>0.08</v>
      </c>
      <c r="N130" s="59">
        <f t="shared" si="194"/>
        <v>0.08</v>
      </c>
    </row>
    <row r="131" spans="1:15" x14ac:dyDescent="0.2">
      <c r="A131" s="58" t="s">
        <v>132</v>
      </c>
      <c r="B131" s="58">
        <f>Historicals!B163</f>
        <v>0</v>
      </c>
      <c r="C131" s="58">
        <f>Historicals!C163</f>
        <v>62</v>
      </c>
      <c r="D131" s="58">
        <f>Historicals!D163</f>
        <v>59</v>
      </c>
      <c r="E131" s="58">
        <f>Historicals!E163</f>
        <v>49</v>
      </c>
      <c r="F131" s="58">
        <f>Historicals!F163</f>
        <v>47</v>
      </c>
      <c r="G131" s="58">
        <f>Historicals!G163</f>
        <v>41</v>
      </c>
      <c r="H131" s="58">
        <f>Historicals!H163</f>
        <v>54</v>
      </c>
      <c r="I131" s="58">
        <f>Historicals!I163</f>
        <v>56</v>
      </c>
      <c r="J131" s="58">
        <f>+J134*J141</f>
        <v>101.51827153284673</v>
      </c>
      <c r="K131" s="58">
        <f t="shared" ref="K131:N131" si="195">+K134*K141</f>
        <v>121.07631894890511</v>
      </c>
      <c r="L131" s="58">
        <f t="shared" si="195"/>
        <v>144.53832309255472</v>
      </c>
      <c r="M131" s="58">
        <f t="shared" si="195"/>
        <v>172.71830952769633</v>
      </c>
      <c r="N131" s="58">
        <f t="shared" si="195"/>
        <v>206.60944016723755</v>
      </c>
      <c r="O131" t="s">
        <v>220</v>
      </c>
    </row>
    <row r="132" spans="1:15" x14ac:dyDescent="0.2">
      <c r="A132" s="58" t="s">
        <v>129</v>
      </c>
      <c r="B132" s="59" t="str">
        <f t="shared" ref="B132:H132" si="196">+IFERROR(B131/A131-1,"nm")</f>
        <v>nm</v>
      </c>
      <c r="C132" s="59" t="str">
        <f t="shared" si="196"/>
        <v>nm</v>
      </c>
      <c r="D132" s="59">
        <f t="shared" si="196"/>
        <v>-4.8387096774193505E-2</v>
      </c>
      <c r="E132" s="59">
        <f t="shared" si="196"/>
        <v>-0.16949152542372881</v>
      </c>
      <c r="F132" s="59">
        <f t="shared" si="196"/>
        <v>-4.081632653061229E-2</v>
      </c>
      <c r="G132" s="59">
        <f t="shared" si="196"/>
        <v>-0.12765957446808507</v>
      </c>
      <c r="H132" s="59">
        <f t="shared" si="196"/>
        <v>0.31707317073170738</v>
      </c>
      <c r="I132" s="59">
        <f>+IFERROR(I131/H131-1,"nm")</f>
        <v>3.7037037037036979E-2</v>
      </c>
      <c r="J132" s="59">
        <f t="shared" ref="J132:N132" si="197">+IFERROR(J131/I131-1,"nm")</f>
        <v>0.81282627737226298</v>
      </c>
      <c r="K132" s="59">
        <f t="shared" si="197"/>
        <v>0.19265544143676916</v>
      </c>
      <c r="L132" s="59">
        <f t="shared" si="197"/>
        <v>0.19377863770000059</v>
      </c>
      <c r="M132" s="59">
        <f t="shared" si="197"/>
        <v>0.19496550002933577</v>
      </c>
      <c r="N132" s="59">
        <f t="shared" si="197"/>
        <v>0.19622199135816909</v>
      </c>
    </row>
    <row r="133" spans="1:15" x14ac:dyDescent="0.2">
      <c r="A133" s="58" t="s">
        <v>133</v>
      </c>
      <c r="B133" s="59">
        <f t="shared" ref="B133:H133" si="198">+IFERROR(B131/B$21,"nm")</f>
        <v>0</v>
      </c>
      <c r="C133" s="59">
        <f t="shared" si="198"/>
        <v>4.1994039555675973E-3</v>
      </c>
      <c r="D133" s="59">
        <f t="shared" si="198"/>
        <v>3.8774973711882231E-3</v>
      </c>
      <c r="E133" s="59">
        <f t="shared" si="198"/>
        <v>3.2985526758667117E-3</v>
      </c>
      <c r="F133" s="59">
        <f t="shared" si="198"/>
        <v>2.9556030687963777E-3</v>
      </c>
      <c r="G133" s="59">
        <f t="shared" si="198"/>
        <v>2.8307097486882076E-3</v>
      </c>
      <c r="H133" s="59">
        <f t="shared" si="198"/>
        <v>3.1433727225100411E-3</v>
      </c>
      <c r="I133" s="59">
        <f>+IFERROR(I131/I$52,"nm")</f>
        <v>4.4875390656302586E-3</v>
      </c>
      <c r="J133" s="59">
        <f t="shared" ref="J133:N133" si="199">+IFERROR(J131/J$21,"nm")</f>
        <v>5.3092442426168618E-3</v>
      </c>
      <c r="K133" s="59">
        <f t="shared" si="199"/>
        <v>6.0722953996974307E-3</v>
      </c>
      <c r="L133" s="59">
        <f t="shared" si="199"/>
        <v>6.9444952495797138E-3</v>
      </c>
      <c r="M133" s="59">
        <f t="shared" si="199"/>
        <v>7.9407537606005479E-3</v>
      </c>
      <c r="N133" s="59">
        <f t="shared" si="199"/>
        <v>9.0777241598621397E-3</v>
      </c>
    </row>
    <row r="134" spans="1:15" x14ac:dyDescent="0.2">
      <c r="A134" s="58" t="s">
        <v>140</v>
      </c>
      <c r="B134" s="59" t="str">
        <f t="shared" ref="B134:H134" si="200">+IFERROR(B131/B141,"nm")</f>
        <v>nm</v>
      </c>
      <c r="C134" s="59" t="str">
        <f t="shared" si="200"/>
        <v>nm</v>
      </c>
      <c r="D134" s="59">
        <f t="shared" si="200"/>
        <v>0.17352941176470588</v>
      </c>
      <c r="E134" s="59">
        <f t="shared" si="200"/>
        <v>0.14454277286135694</v>
      </c>
      <c r="F134" s="59">
        <f t="shared" si="200"/>
        <v>0.14417177914110429</v>
      </c>
      <c r="G134" s="59">
        <f t="shared" si="200"/>
        <v>0.13851351351351351</v>
      </c>
      <c r="H134" s="59">
        <f t="shared" si="200"/>
        <v>0.17763157894736842</v>
      </c>
      <c r="I134" s="59">
        <f>+IFERROR(I131/I141,"nm")</f>
        <v>0.20437956204379562</v>
      </c>
      <c r="J134" s="59">
        <f>+I134</f>
        <v>0.20437956204379562</v>
      </c>
      <c r="K134" s="59">
        <f t="shared" ref="K134:N134" si="201">+J134</f>
        <v>0.20437956204379562</v>
      </c>
      <c r="L134" s="59">
        <f t="shared" si="201"/>
        <v>0.20437956204379562</v>
      </c>
      <c r="M134" s="59">
        <f t="shared" si="201"/>
        <v>0.20437956204379562</v>
      </c>
      <c r="N134" s="59">
        <f t="shared" si="201"/>
        <v>0.20437956204379562</v>
      </c>
    </row>
    <row r="135" spans="1:15" x14ac:dyDescent="0.2">
      <c r="A135" s="58" t="s">
        <v>134</v>
      </c>
      <c r="B135" s="58">
        <f>Historicals!B152</f>
        <v>0</v>
      </c>
      <c r="C135" s="58">
        <f>Historicals!C152</f>
        <v>0</v>
      </c>
      <c r="D135" s="58">
        <f>Historicals!D152</f>
        <v>340</v>
      </c>
      <c r="E135" s="58">
        <f>Historicals!E152</f>
        <v>339</v>
      </c>
      <c r="F135" s="58">
        <f>Historicals!F152</f>
        <v>326</v>
      </c>
      <c r="G135" s="58">
        <f>Historicals!G152</f>
        <v>296</v>
      </c>
      <c r="H135" s="58">
        <f>Historicals!H152</f>
        <v>304</v>
      </c>
      <c r="I135" s="58">
        <f>Historicals!I152</f>
        <v>274</v>
      </c>
      <c r="J135" s="58">
        <f>+J128-J131</f>
        <v>466.15532846715325</v>
      </c>
      <c r="K135" s="58">
        <f t="shared" ref="K135:N135" si="202">+K128-K131</f>
        <v>555.96268905109469</v>
      </c>
      <c r="L135" s="58">
        <f t="shared" si="202"/>
        <v>663.69638154744518</v>
      </c>
      <c r="M135" s="58">
        <f t="shared" si="202"/>
        <v>793.09427844350353</v>
      </c>
      <c r="N135" s="58">
        <f t="shared" si="202"/>
        <v>948.71681709445807</v>
      </c>
    </row>
    <row r="136" spans="1:15" x14ac:dyDescent="0.2">
      <c r="A136" s="58" t="s">
        <v>129</v>
      </c>
      <c r="B136" s="59" t="str">
        <f t="shared" ref="B136:H136" si="203">+IFERROR(B135/A135-1,"nm")</f>
        <v>nm</v>
      </c>
      <c r="C136" s="59" t="str">
        <f t="shared" si="203"/>
        <v>nm</v>
      </c>
      <c r="D136" s="59" t="str">
        <f t="shared" si="203"/>
        <v>nm</v>
      </c>
      <c r="E136" s="59">
        <f t="shared" si="203"/>
        <v>-2.9411764705882248E-3</v>
      </c>
      <c r="F136" s="59">
        <f t="shared" si="203"/>
        <v>-3.8348082595870192E-2</v>
      </c>
      <c r="G136" s="59">
        <f t="shared" si="203"/>
        <v>-9.2024539877300637E-2</v>
      </c>
      <c r="H136" s="59">
        <f t="shared" si="203"/>
        <v>2.7027027027026973E-2</v>
      </c>
      <c r="I136" s="59">
        <f>+IFERROR(I135/H135-1,"nm")</f>
        <v>-9.8684210526315819E-2</v>
      </c>
      <c r="J136" s="59">
        <f>+IFERROR(J135/I135-1,"nm")</f>
        <v>0.70129681922318698</v>
      </c>
      <c r="K136" s="59">
        <f t="shared" ref="K136:N136" si="204">+IFERROR(K135/J135-1,"nm")</f>
        <v>0.19265544143676894</v>
      </c>
      <c r="L136" s="59">
        <f t="shared" si="204"/>
        <v>0.19377863770000125</v>
      </c>
      <c r="M136" s="59">
        <f t="shared" si="204"/>
        <v>0.19496550002933555</v>
      </c>
      <c r="N136" s="59">
        <f t="shared" si="204"/>
        <v>0.19622199135816909</v>
      </c>
    </row>
    <row r="137" spans="1:15" x14ac:dyDescent="0.2">
      <c r="A137" s="58" t="s">
        <v>131</v>
      </c>
      <c r="B137" s="59" t="str">
        <f t="shared" ref="B137:H137" si="205">+IFERROR(B135/B$114,"nm")</f>
        <v>nm</v>
      </c>
      <c r="C137" s="59" t="str">
        <f t="shared" si="205"/>
        <v>nm</v>
      </c>
      <c r="D137" s="59">
        <f t="shared" si="205"/>
        <v>7.1775385264935612E-2</v>
      </c>
      <c r="E137" s="59">
        <f t="shared" si="205"/>
        <v>6.5621370499419282E-2</v>
      </c>
      <c r="F137" s="59">
        <f t="shared" si="205"/>
        <v>6.2047963456414161E-2</v>
      </c>
      <c r="G137" s="59">
        <f t="shared" si="205"/>
        <v>5.88703261734288E-2</v>
      </c>
      <c r="H137" s="59">
        <f t="shared" si="205"/>
        <v>5.6896874415122589E-2</v>
      </c>
      <c r="I137" s="59">
        <f>+IFERROR(I135/I$114,"nm")</f>
        <v>4.6011754827875735E-2</v>
      </c>
      <c r="J137" s="59">
        <f t="shared" ref="J137:N137" si="206">+IFERROR(J135/J$21,"nm")</f>
        <v>2.4379182746710075E-2</v>
      </c>
      <c r="K137" s="59">
        <f t="shared" si="206"/>
        <v>2.7882989080243292E-2</v>
      </c>
      <c r="L137" s="59">
        <f t="shared" si="206"/>
        <v>3.1887988390927262E-2</v>
      </c>
      <c r="M137" s="59">
        <f t="shared" si="206"/>
        <v>3.6462644819084143E-2</v>
      </c>
      <c r="N137" s="59">
        <f t="shared" si="206"/>
        <v>4.1683427264673091E-2</v>
      </c>
    </row>
    <row r="138" spans="1:15" x14ac:dyDescent="0.2">
      <c r="A138" s="58" t="s">
        <v>135</v>
      </c>
      <c r="B138" s="58">
        <f>Historicals!B163</f>
        <v>0</v>
      </c>
      <c r="C138" s="58">
        <f>Historicals!C163</f>
        <v>62</v>
      </c>
      <c r="D138" s="58">
        <f>Historicals!D163</f>
        <v>59</v>
      </c>
      <c r="E138" s="58">
        <f>Historicals!E163</f>
        <v>49</v>
      </c>
      <c r="F138" s="58">
        <f>Historicals!F163</f>
        <v>47</v>
      </c>
      <c r="G138" s="58">
        <f>Historicals!G163</f>
        <v>41</v>
      </c>
      <c r="H138" s="58">
        <f>Historicals!H163</f>
        <v>54</v>
      </c>
      <c r="I138" s="58">
        <f>Historicals!I163</f>
        <v>56</v>
      </c>
      <c r="J138" s="58">
        <f>+J114*J140</f>
        <v>66.729054575986567</v>
      </c>
      <c r="K138" s="58">
        <f t="shared" ref="K138:N138" si="207">+K114*K140</f>
        <v>79.584770041981514</v>
      </c>
      <c r="L138" s="58">
        <f t="shared" si="207"/>
        <v>95.006598362384523</v>
      </c>
      <c r="M138" s="58">
        <f t="shared" si="207"/>
        <v>113.52960731819309</v>
      </c>
      <c r="N138" s="58">
        <f t="shared" si="207"/>
        <v>135.80661294427992</v>
      </c>
    </row>
    <row r="139" spans="1:15" x14ac:dyDescent="0.2">
      <c r="A139" s="58" t="s">
        <v>129</v>
      </c>
      <c r="B139" s="59" t="str">
        <f t="shared" ref="B139:H139" si="208">+IFERROR(B138/A138-1,"nm")</f>
        <v>nm</v>
      </c>
      <c r="C139" s="59" t="str">
        <f t="shared" si="208"/>
        <v>nm</v>
      </c>
      <c r="D139" s="59">
        <f t="shared" si="208"/>
        <v>-4.8387096774193505E-2</v>
      </c>
      <c r="E139" s="59">
        <f t="shared" si="208"/>
        <v>-0.16949152542372881</v>
      </c>
      <c r="F139" s="59">
        <f t="shared" si="208"/>
        <v>-4.081632653061229E-2</v>
      </c>
      <c r="G139" s="59">
        <f t="shared" si="208"/>
        <v>-0.12765957446808507</v>
      </c>
      <c r="H139" s="59">
        <f t="shared" si="208"/>
        <v>0.31707317073170738</v>
      </c>
      <c r="I139" s="59">
        <f>+IFERROR(I138/H138-1,"nm")</f>
        <v>3.7037037037036979E-2</v>
      </c>
      <c r="J139" s="59">
        <v>0</v>
      </c>
      <c r="K139" s="59">
        <f t="shared" ref="K139:N139" si="209">+IFERROR(K138/J138-1,"nm")</f>
        <v>0.19265544143676916</v>
      </c>
      <c r="L139" s="59">
        <f t="shared" si="209"/>
        <v>0.19377863770000081</v>
      </c>
      <c r="M139" s="59">
        <f t="shared" si="209"/>
        <v>0.19496550002933577</v>
      </c>
      <c r="N139" s="59">
        <f t="shared" si="209"/>
        <v>0.19622199135816931</v>
      </c>
    </row>
    <row r="140" spans="1:15" x14ac:dyDescent="0.2">
      <c r="A140" s="58" t="s">
        <v>133</v>
      </c>
      <c r="B140" s="59" t="str">
        <f t="shared" ref="B140:H140" si="210">+IFERROR(B138/B$114,"nm")</f>
        <v>nm</v>
      </c>
      <c r="C140" s="59" t="str">
        <f t="shared" si="210"/>
        <v>nm</v>
      </c>
      <c r="D140" s="59">
        <f t="shared" si="210"/>
        <v>1.2455140384209416E-2</v>
      </c>
      <c r="E140" s="59">
        <f t="shared" si="210"/>
        <v>9.485094850948509E-3</v>
      </c>
      <c r="F140" s="59">
        <f t="shared" si="210"/>
        <v>8.9455652835934533E-3</v>
      </c>
      <c r="G140" s="59">
        <f t="shared" si="210"/>
        <v>8.1543357199681775E-3</v>
      </c>
      <c r="H140" s="59">
        <f t="shared" si="210"/>
        <v>1.0106681639528355E-2</v>
      </c>
      <c r="I140" s="59">
        <f>+IFERROR(I138/I$114,"nm")</f>
        <v>9.4038623005877411E-3</v>
      </c>
      <c r="J140" s="59">
        <f>+I140</f>
        <v>9.4038623005877411E-3</v>
      </c>
      <c r="K140" s="59">
        <f t="shared" ref="K140:N140" si="211">+J140</f>
        <v>9.4038623005877411E-3</v>
      </c>
      <c r="L140" s="59">
        <f t="shared" si="211"/>
        <v>9.4038623005877411E-3</v>
      </c>
      <c r="M140" s="59">
        <f t="shared" si="211"/>
        <v>9.4038623005877411E-3</v>
      </c>
      <c r="N140" s="59">
        <f t="shared" si="211"/>
        <v>9.4038623005877411E-3</v>
      </c>
    </row>
    <row r="141" spans="1:15" x14ac:dyDescent="0.2">
      <c r="A141" s="58" t="s">
        <v>141</v>
      </c>
      <c r="B141" s="58">
        <f>Historicals!B152</f>
        <v>0</v>
      </c>
      <c r="C141" s="58">
        <f>Historicals!C152</f>
        <v>0</v>
      </c>
      <c r="D141" s="58">
        <f>Historicals!D152</f>
        <v>340</v>
      </c>
      <c r="E141" s="58">
        <f>Historicals!E152</f>
        <v>339</v>
      </c>
      <c r="F141" s="58">
        <f>Historicals!F152</f>
        <v>326</v>
      </c>
      <c r="G141" s="58">
        <f>Historicals!G152</f>
        <v>296</v>
      </c>
      <c r="H141" s="58">
        <f>Historicals!H152</f>
        <v>304</v>
      </c>
      <c r="I141" s="58">
        <f>Historicals!I152</f>
        <v>274</v>
      </c>
      <c r="J141" s="58">
        <f>+J114*J143</f>
        <v>496.71440000000007</v>
      </c>
      <c r="K141" s="58">
        <f t="shared" ref="K141:N141" si="212">+K114*K143</f>
        <v>592.409132</v>
      </c>
      <c r="L141" s="58">
        <f t="shared" si="212"/>
        <v>707.2053665599999</v>
      </c>
      <c r="M141" s="58">
        <f t="shared" si="212"/>
        <v>845.08601447479998</v>
      </c>
      <c r="N141" s="58">
        <f t="shared" si="212"/>
        <v>1010.9104751039838</v>
      </c>
    </row>
    <row r="142" spans="1:15" x14ac:dyDescent="0.2">
      <c r="A142" s="58" t="s">
        <v>129</v>
      </c>
      <c r="B142" s="59" t="str">
        <f t="shared" ref="B142:H142" si="213">+IFERROR(B141/A141-1,"nm")</f>
        <v>nm</v>
      </c>
      <c r="C142" s="59" t="str">
        <f t="shared" si="213"/>
        <v>nm</v>
      </c>
      <c r="D142" s="59" t="str">
        <f t="shared" si="213"/>
        <v>nm</v>
      </c>
      <c r="E142" s="59">
        <f t="shared" si="213"/>
        <v>-2.9411764705882248E-3</v>
      </c>
      <c r="F142" s="59">
        <f t="shared" si="213"/>
        <v>-3.8348082595870192E-2</v>
      </c>
      <c r="G142" s="59">
        <f t="shared" si="213"/>
        <v>-9.2024539877300637E-2</v>
      </c>
      <c r="H142" s="59">
        <f t="shared" si="213"/>
        <v>2.7027027027026973E-2</v>
      </c>
      <c r="I142" s="59">
        <f>+IFERROR(I141/H141-1,"nm")</f>
        <v>-9.8684210526315819E-2</v>
      </c>
      <c r="J142" s="59">
        <f>+J143+J144</f>
        <v>7.0000000000000007E-2</v>
      </c>
      <c r="K142" s="59">
        <f t="shared" ref="K142:N142" si="214">+K143+K144</f>
        <v>7.0000000000000007E-2</v>
      </c>
      <c r="L142" s="59">
        <f t="shared" si="214"/>
        <v>7.0000000000000007E-2</v>
      </c>
      <c r="M142" s="59">
        <f t="shared" si="214"/>
        <v>7.0000000000000007E-2</v>
      </c>
      <c r="N142" s="59">
        <f t="shared" si="214"/>
        <v>7.0000000000000007E-2</v>
      </c>
    </row>
    <row r="143" spans="1:15" x14ac:dyDescent="0.2">
      <c r="A143" s="58" t="s">
        <v>133</v>
      </c>
      <c r="B143" s="59" t="str">
        <f t="shared" ref="B143:H143" si="215">+IFERROR(B141/B$114,"nm")</f>
        <v>nm</v>
      </c>
      <c r="C143" s="59" t="str">
        <f t="shared" si="215"/>
        <v>nm</v>
      </c>
      <c r="D143" s="59">
        <f t="shared" si="215"/>
        <v>7.1775385264935612E-2</v>
      </c>
      <c r="E143" s="59">
        <f t="shared" si="215"/>
        <v>6.5621370499419282E-2</v>
      </c>
      <c r="F143" s="59">
        <f t="shared" si="215"/>
        <v>6.2047963456414161E-2</v>
      </c>
      <c r="G143" s="59">
        <f t="shared" si="215"/>
        <v>5.88703261734288E-2</v>
      </c>
      <c r="H143" s="59">
        <f t="shared" si="215"/>
        <v>5.6896874415122589E-2</v>
      </c>
      <c r="I143" s="59">
        <f>+IFERROR(I141/I$114,"nm")</f>
        <v>4.6011754827875735E-2</v>
      </c>
      <c r="J143" s="59">
        <v>7.0000000000000007E-2</v>
      </c>
      <c r="K143" s="59">
        <f t="shared" ref="K143:N143" si="216">+J143</f>
        <v>7.0000000000000007E-2</v>
      </c>
      <c r="L143" s="59">
        <f t="shared" si="216"/>
        <v>7.0000000000000007E-2</v>
      </c>
      <c r="M143" s="59">
        <f t="shared" si="216"/>
        <v>7.0000000000000007E-2</v>
      </c>
      <c r="N143" s="59">
        <f t="shared" si="216"/>
        <v>7.0000000000000007E-2</v>
      </c>
    </row>
    <row r="144" spans="1:15" x14ac:dyDescent="0.2">
      <c r="A144" s="62" t="s">
        <v>107</v>
      </c>
      <c r="B144" s="60"/>
      <c r="C144" s="60"/>
      <c r="D144" s="60"/>
      <c r="E144" s="60"/>
      <c r="F144" s="60"/>
      <c r="G144" s="60"/>
      <c r="H144" s="60"/>
      <c r="I144" s="60"/>
      <c r="J144" s="61"/>
      <c r="K144" s="61"/>
      <c r="L144" s="61"/>
      <c r="M144" s="61"/>
      <c r="N144" s="61"/>
    </row>
    <row r="145" spans="1:15" x14ac:dyDescent="0.2">
      <c r="A145" s="58" t="s">
        <v>136</v>
      </c>
      <c r="B145">
        <f>Historicals!B127</f>
        <v>115</v>
      </c>
      <c r="C145">
        <f>Historicals!C127</f>
        <v>73</v>
      </c>
      <c r="D145">
        <f>Historicals!D127</f>
        <v>73</v>
      </c>
      <c r="E145">
        <f>Historicals!E127</f>
        <v>88</v>
      </c>
      <c r="F145">
        <f>Historicals!F127</f>
        <v>42</v>
      </c>
      <c r="G145">
        <f>Historicals!G127</f>
        <v>30</v>
      </c>
      <c r="H145">
        <f>Historicals!H127</f>
        <v>25</v>
      </c>
      <c r="I145">
        <f>Historicals!I127</f>
        <v>102</v>
      </c>
      <c r="J145" s="58">
        <f>I145*J146</f>
        <v>132.6</v>
      </c>
      <c r="K145" s="58">
        <f t="shared" ref="K145:N145" si="217">J145*K146</f>
        <v>145.86000000000001</v>
      </c>
      <c r="L145" s="58">
        <f t="shared" si="217"/>
        <v>160.44600000000003</v>
      </c>
      <c r="M145" s="58">
        <f t="shared" si="217"/>
        <v>176.49060000000006</v>
      </c>
      <c r="N145" s="58">
        <f t="shared" si="217"/>
        <v>194.13966000000008</v>
      </c>
    </row>
    <row r="146" spans="1:15" x14ac:dyDescent="0.2">
      <c r="A146" s="58" t="s">
        <v>129</v>
      </c>
      <c r="B146" s="59" t="str">
        <f t="shared" ref="B146:H146" si="218">+IFERROR(B145/A145-1,"nm")</f>
        <v>nm</v>
      </c>
      <c r="C146" s="59">
        <f t="shared" si="218"/>
        <v>-0.36521739130434783</v>
      </c>
      <c r="D146" s="59">
        <f t="shared" si="218"/>
        <v>0</v>
      </c>
      <c r="E146" s="59">
        <f t="shared" si="218"/>
        <v>0.20547945205479445</v>
      </c>
      <c r="F146" s="59">
        <f t="shared" si="218"/>
        <v>-0.52272727272727271</v>
      </c>
      <c r="G146" s="59">
        <f t="shared" si="218"/>
        <v>-0.2857142857142857</v>
      </c>
      <c r="H146" s="59">
        <f t="shared" si="218"/>
        <v>-0.16666666666666663</v>
      </c>
      <c r="I146" s="59">
        <f>+IFERROR(I145/H145-1,"nm")</f>
        <v>3.08</v>
      </c>
      <c r="J146" s="59">
        <v>1.3</v>
      </c>
      <c r="K146" s="59">
        <v>1.1000000000000001</v>
      </c>
      <c r="L146" s="59">
        <v>1.1000000000000001</v>
      </c>
      <c r="M146" s="59">
        <v>1.1000000000000001</v>
      </c>
      <c r="N146" s="59">
        <v>1.1000000000000001</v>
      </c>
      <c r="O146" s="65" t="s">
        <v>215</v>
      </c>
    </row>
    <row r="147" spans="1:15" x14ac:dyDescent="0.2">
      <c r="A147" s="58" t="s">
        <v>130</v>
      </c>
      <c r="B147" s="58">
        <f>B154+B150</f>
        <v>-2057</v>
      </c>
      <c r="C147" s="58">
        <f t="shared" ref="C147:H147" si="219">C154+C150</f>
        <v>-2366</v>
      </c>
      <c r="D147" s="58">
        <f t="shared" si="219"/>
        <v>-2444</v>
      </c>
      <c r="E147" s="58">
        <f t="shared" si="219"/>
        <v>-2441</v>
      </c>
      <c r="F147" s="58">
        <f t="shared" si="219"/>
        <v>-3067</v>
      </c>
      <c r="G147" s="58">
        <f t="shared" si="219"/>
        <v>-3254</v>
      </c>
      <c r="H147" s="58">
        <f t="shared" si="219"/>
        <v>-3434</v>
      </c>
      <c r="I147" s="58">
        <f>I154+I150</f>
        <v>-4042</v>
      </c>
      <c r="J147" s="58">
        <f>J145*J149</f>
        <v>-5254.5999999999995</v>
      </c>
      <c r="K147" s="58">
        <f>K145*K149</f>
        <v>-5780.06</v>
      </c>
      <c r="L147" s="58">
        <f t="shared" ref="L147:N147" si="220">L145*L149</f>
        <v>-6358.0660000000007</v>
      </c>
      <c r="M147" s="58">
        <f t="shared" si="220"/>
        <v>-6993.8726000000015</v>
      </c>
      <c r="N147" s="58">
        <f t="shared" si="220"/>
        <v>-7693.2598600000028</v>
      </c>
      <c r="O147" t="s">
        <v>221</v>
      </c>
    </row>
    <row r="148" spans="1:15" x14ac:dyDescent="0.2">
      <c r="A148" s="58" t="s">
        <v>129</v>
      </c>
      <c r="B148" s="59" t="str">
        <f t="shared" ref="B148:H148" si="221">+IFERROR(B147/A147-1,"nm")</f>
        <v>nm</v>
      </c>
      <c r="C148" s="59">
        <f t="shared" si="221"/>
        <v>0.15021876519202726</v>
      </c>
      <c r="D148" s="59">
        <f t="shared" si="221"/>
        <v>3.2967032967033072E-2</v>
      </c>
      <c r="E148" s="59">
        <f t="shared" si="221"/>
        <v>-1.2274959083469206E-3</v>
      </c>
      <c r="F148" s="59">
        <f t="shared" si="221"/>
        <v>0.25645227365833678</v>
      </c>
      <c r="G148" s="59">
        <f t="shared" si="221"/>
        <v>6.0971633518095869E-2</v>
      </c>
      <c r="H148" s="59">
        <f t="shared" si="221"/>
        <v>5.5316533497234088E-2</v>
      </c>
      <c r="I148" s="59">
        <f>+IFERROR(I147/H147-1,"nm")</f>
        <v>0.1770529994175889</v>
      </c>
      <c r="J148" s="59">
        <v>0.15</v>
      </c>
      <c r="K148" s="59">
        <v>0.15</v>
      </c>
      <c r="L148" s="59">
        <v>0.15</v>
      </c>
      <c r="M148" s="59">
        <v>0.15</v>
      </c>
      <c r="N148" s="59">
        <v>0.15</v>
      </c>
    </row>
    <row r="149" spans="1:15" x14ac:dyDescent="0.2">
      <c r="A149" s="58" t="s">
        <v>131</v>
      </c>
      <c r="B149" s="59">
        <f>+IFERROR(B147/B$145,"nm")</f>
        <v>-17.88695652173913</v>
      </c>
      <c r="C149" s="59">
        <f t="shared" ref="C149:H149" si="222">+IFERROR(C147/C$145,"nm")</f>
        <v>-32.410958904109592</v>
      </c>
      <c r="D149" s="59">
        <f t="shared" si="222"/>
        <v>-33.479452054794521</v>
      </c>
      <c r="E149" s="59">
        <f t="shared" si="222"/>
        <v>-27.738636363636363</v>
      </c>
      <c r="F149" s="59">
        <f t="shared" si="222"/>
        <v>-73.023809523809518</v>
      </c>
      <c r="G149" s="59">
        <f t="shared" si="222"/>
        <v>-108.46666666666667</v>
      </c>
      <c r="H149" s="59">
        <f t="shared" si="222"/>
        <v>-137.36000000000001</v>
      </c>
      <c r="I149" s="59">
        <f>+IFERROR(I147/I$145,"nm")</f>
        <v>-39.627450980392155</v>
      </c>
      <c r="J149" s="59">
        <f>I149</f>
        <v>-39.627450980392155</v>
      </c>
      <c r="K149" s="59">
        <f t="shared" ref="K149:N149" si="223">J149</f>
        <v>-39.627450980392155</v>
      </c>
      <c r="L149" s="59">
        <f t="shared" si="223"/>
        <v>-39.627450980392155</v>
      </c>
      <c r="M149" s="59">
        <f t="shared" si="223"/>
        <v>-39.627450980392155</v>
      </c>
      <c r="N149" s="59">
        <f t="shared" si="223"/>
        <v>-39.627450980392155</v>
      </c>
    </row>
    <row r="150" spans="1:15" x14ac:dyDescent="0.2">
      <c r="A150" s="58" t="s">
        <v>132</v>
      </c>
      <c r="B150" s="58">
        <f>Historicals!B175</f>
        <v>210</v>
      </c>
      <c r="C150" s="58">
        <f>Historicals!C175</f>
        <v>230</v>
      </c>
      <c r="D150" s="58">
        <f>Historicals!D175</f>
        <v>233</v>
      </c>
      <c r="E150" s="58">
        <f>Historicals!E175</f>
        <v>217</v>
      </c>
      <c r="F150" s="58">
        <f>Historicals!F175</f>
        <v>195</v>
      </c>
      <c r="G150" s="58">
        <f>Historicals!G175</f>
        <v>214</v>
      </c>
      <c r="H150" s="58">
        <f>Historicals!H175</f>
        <v>222</v>
      </c>
      <c r="I150" s="58">
        <f>Historicals!I175</f>
        <v>220</v>
      </c>
      <c r="J150" s="58">
        <f>+J153*J160</f>
        <v>286</v>
      </c>
      <c r="K150" s="58">
        <f t="shared" ref="K150:N150" si="224">+K153*K160</f>
        <v>314.60000000000002</v>
      </c>
      <c r="L150" s="58">
        <f t="shared" si="224"/>
        <v>346.06000000000006</v>
      </c>
      <c r="M150" s="58">
        <f t="shared" si="224"/>
        <v>380.66600000000011</v>
      </c>
      <c r="N150" s="58">
        <f t="shared" si="224"/>
        <v>418.7326000000001</v>
      </c>
      <c r="O150" t="s">
        <v>220</v>
      </c>
    </row>
    <row r="151" spans="1:15" x14ac:dyDescent="0.2">
      <c r="A151" s="58" t="s">
        <v>129</v>
      </c>
      <c r="B151" s="59" t="str">
        <f t="shared" ref="B151:H151" si="225">+IFERROR(B150/A150-1,"nm")</f>
        <v>nm</v>
      </c>
      <c r="C151" s="59">
        <f t="shared" si="225"/>
        <v>9.5238095238095344E-2</v>
      </c>
      <c r="D151" s="59">
        <f t="shared" si="225"/>
        <v>1.304347826086949E-2</v>
      </c>
      <c r="E151" s="59">
        <f t="shared" si="225"/>
        <v>-6.8669527896995763E-2</v>
      </c>
      <c r="F151" s="59">
        <f t="shared" si="225"/>
        <v>-0.10138248847926268</v>
      </c>
      <c r="G151" s="59">
        <f t="shared" si="225"/>
        <v>9.7435897435897534E-2</v>
      </c>
      <c r="H151" s="59">
        <f t="shared" si="225"/>
        <v>3.7383177570093462E-2</v>
      </c>
      <c r="I151" s="59">
        <f>+IFERROR(I150/H150-1,"nm")</f>
        <v>-9.009009009009028E-3</v>
      </c>
      <c r="J151" s="59">
        <f>+IFERROR(J150/I150-1,"nm")</f>
        <v>0.30000000000000004</v>
      </c>
      <c r="K151" s="59">
        <f t="shared" ref="K151:N151" si="226">+IFERROR(K150/J150-1,"nm")</f>
        <v>0.10000000000000009</v>
      </c>
      <c r="L151" s="59">
        <f t="shared" si="226"/>
        <v>0.10000000000000009</v>
      </c>
      <c r="M151" s="59">
        <f t="shared" si="226"/>
        <v>0.10000000000000009</v>
      </c>
      <c r="N151" s="59">
        <f t="shared" si="226"/>
        <v>9.9999999999999867E-2</v>
      </c>
    </row>
    <row r="152" spans="1:15" x14ac:dyDescent="0.2">
      <c r="A152" s="58" t="s">
        <v>133</v>
      </c>
      <c r="B152" s="59">
        <f t="shared" ref="B152:H152" si="227">+IFERROR(B150/B$21,"nm")</f>
        <v>1.5283842794759825E-2</v>
      </c>
      <c r="C152" s="59">
        <f t="shared" si="227"/>
        <v>1.5578434028718504E-2</v>
      </c>
      <c r="D152" s="59">
        <f t="shared" si="227"/>
        <v>1.5312828601472135E-2</v>
      </c>
      <c r="E152" s="59">
        <f t="shared" si="227"/>
        <v>1.460787613598115E-2</v>
      </c>
      <c r="F152" s="59">
        <f t="shared" si="227"/>
        <v>1.2262608476921143E-2</v>
      </c>
      <c r="G152" s="59">
        <f t="shared" si="227"/>
        <v>1.4774924054128693E-2</v>
      </c>
      <c r="H152" s="59">
        <f t="shared" si="227"/>
        <v>1.2922754525874615E-2</v>
      </c>
      <c r="I152" s="59">
        <f>+IFERROR(I150/I$52,"nm")</f>
        <v>1.7629617757833161E-2</v>
      </c>
      <c r="J152" s="59">
        <f t="shared" ref="J152:N152" si="228">+IFERROR(J150/J$21,"nm")</f>
        <v>1.4957345416358105E-2</v>
      </c>
      <c r="K152" s="59">
        <f t="shared" si="228"/>
        <v>1.577801629029528E-2</v>
      </c>
      <c r="L152" s="59">
        <f t="shared" si="228"/>
        <v>1.6626815467692024E-2</v>
      </c>
      <c r="M152" s="59">
        <f t="shared" si="228"/>
        <v>1.750118432318289E-2</v>
      </c>
      <c r="N152" s="59">
        <f t="shared" si="228"/>
        <v>1.839770262416424E-2</v>
      </c>
    </row>
    <row r="153" spans="1:15" x14ac:dyDescent="0.2">
      <c r="A153" s="58" t="s">
        <v>140</v>
      </c>
      <c r="B153" s="59">
        <f t="shared" ref="B153:H153" si="229">+IFERROR(B150/B160,"nm")</f>
        <v>0.43388429752066116</v>
      </c>
      <c r="C153" s="59">
        <f t="shared" si="229"/>
        <v>0.45009784735812131</v>
      </c>
      <c r="D153" s="59">
        <f t="shared" si="229"/>
        <v>0.43714821763602252</v>
      </c>
      <c r="E153" s="59">
        <f t="shared" si="229"/>
        <v>0.36348408710217756</v>
      </c>
      <c r="F153" s="59">
        <f t="shared" si="229"/>
        <v>0.2932330827067669</v>
      </c>
      <c r="G153" s="59">
        <f t="shared" si="229"/>
        <v>0.25783132530120484</v>
      </c>
      <c r="H153" s="59">
        <f t="shared" si="229"/>
        <v>0.2846153846153846</v>
      </c>
      <c r="I153" s="59">
        <f>+IFERROR(I150/I160,"nm")</f>
        <v>0.27883396704689478</v>
      </c>
      <c r="J153" s="59">
        <f>+I153</f>
        <v>0.27883396704689478</v>
      </c>
      <c r="K153" s="59">
        <f t="shared" ref="K153:N153" si="230">+J153</f>
        <v>0.27883396704689478</v>
      </c>
      <c r="L153" s="59">
        <f t="shared" si="230"/>
        <v>0.27883396704689478</v>
      </c>
      <c r="M153" s="59">
        <f t="shared" si="230"/>
        <v>0.27883396704689478</v>
      </c>
      <c r="N153" s="59">
        <f t="shared" si="230"/>
        <v>0.27883396704689478</v>
      </c>
    </row>
    <row r="154" spans="1:15" x14ac:dyDescent="0.2">
      <c r="A154" s="58" t="s">
        <v>134</v>
      </c>
      <c r="B154" s="58">
        <f>Historicals!B142</f>
        <v>-2267</v>
      </c>
      <c r="C154" s="58">
        <f>Historicals!C142</f>
        <v>-2596</v>
      </c>
      <c r="D154" s="58">
        <f>Historicals!D142</f>
        <v>-2677</v>
      </c>
      <c r="E154" s="58">
        <f>Historicals!E142</f>
        <v>-2658</v>
      </c>
      <c r="F154" s="58">
        <f>Historicals!F142</f>
        <v>-3262</v>
      </c>
      <c r="G154" s="58">
        <f>Historicals!G142</f>
        <v>-3468</v>
      </c>
      <c r="H154" s="58">
        <f>Historicals!H142</f>
        <v>-3656</v>
      </c>
      <c r="I154" s="58">
        <f>Historicals!I142</f>
        <v>-4262</v>
      </c>
      <c r="J154" s="58">
        <f>+J147-J150</f>
        <v>-5540.5999999999995</v>
      </c>
      <c r="K154" s="58">
        <f>+K147-K150</f>
        <v>-6094.6600000000008</v>
      </c>
      <c r="L154" s="58">
        <f>+L147-L150</f>
        <v>-6704.1260000000011</v>
      </c>
      <c r="M154" s="58">
        <f t="shared" ref="M154:N154" si="231">+M147-M150</f>
        <v>-7374.5386000000017</v>
      </c>
      <c r="N154" s="58">
        <f t="shared" si="231"/>
        <v>-8111.9924600000031</v>
      </c>
    </row>
    <row r="155" spans="1:15" x14ac:dyDescent="0.2">
      <c r="A155" s="58" t="s">
        <v>129</v>
      </c>
      <c r="B155" s="59" t="str">
        <f t="shared" ref="B155:H155" si="232">+IFERROR(B154/A154-1,"nm")</f>
        <v>nm</v>
      </c>
      <c r="C155" s="59">
        <f t="shared" si="232"/>
        <v>0.145125716806352</v>
      </c>
      <c r="D155" s="59">
        <f t="shared" si="232"/>
        <v>3.1201848998459125E-2</v>
      </c>
      <c r="E155" s="59">
        <f t="shared" si="232"/>
        <v>-7.097497198356395E-3</v>
      </c>
      <c r="F155" s="59">
        <f t="shared" si="232"/>
        <v>0.22723852520692245</v>
      </c>
      <c r="G155" s="59">
        <f t="shared" si="232"/>
        <v>6.3151440833844275E-2</v>
      </c>
      <c r="H155" s="59">
        <f t="shared" si="232"/>
        <v>5.4209919261822392E-2</v>
      </c>
      <c r="I155" s="59">
        <f>+IFERROR(I154/H154-1,"nm")</f>
        <v>0.16575492341356668</v>
      </c>
      <c r="J155" s="59">
        <f>+IFERROR(J154/I154-1,"nm")</f>
        <v>0.29999999999999982</v>
      </c>
      <c r="K155" s="59">
        <f t="shared" ref="K155:N155" si="233">+IFERROR(K154/J154-1,"nm")</f>
        <v>0.10000000000000031</v>
      </c>
      <c r="L155" s="59">
        <f t="shared" si="233"/>
        <v>0.10000000000000009</v>
      </c>
      <c r="M155" s="59">
        <f t="shared" si="233"/>
        <v>0.10000000000000009</v>
      </c>
      <c r="N155" s="59">
        <f t="shared" si="233"/>
        <v>0.10000000000000009</v>
      </c>
    </row>
    <row r="156" spans="1:15" x14ac:dyDescent="0.2">
      <c r="A156" s="58" t="s">
        <v>131</v>
      </c>
      <c r="B156" s="59">
        <f t="shared" ref="B156:G156" si="234">+IFERROR(B154/B$145,"nm")</f>
        <v>-19.713043478260868</v>
      </c>
      <c r="C156" s="59">
        <f t="shared" si="234"/>
        <v>-35.561643835616437</v>
      </c>
      <c r="D156" s="59">
        <f t="shared" si="234"/>
        <v>-36.671232876712331</v>
      </c>
      <c r="E156" s="59">
        <f t="shared" si="234"/>
        <v>-30.204545454545453</v>
      </c>
      <c r="F156" s="59">
        <f t="shared" si="234"/>
        <v>-77.666666666666671</v>
      </c>
      <c r="G156" s="59">
        <f t="shared" si="234"/>
        <v>-115.6</v>
      </c>
      <c r="H156" s="59">
        <f>+IFERROR(H154/H$145,"nm")</f>
        <v>-146.24</v>
      </c>
      <c r="I156" s="59">
        <f>+IFERROR(I154/I$145,"nm")</f>
        <v>-41.784313725490193</v>
      </c>
      <c r="J156" s="59">
        <f t="shared" ref="J156:N156" si="235">+IFERROR(J154/J$21,"nm")</f>
        <v>-0.28976457347508289</v>
      </c>
      <c r="K156" s="59">
        <f t="shared" si="235"/>
        <v>-0.30566320649653855</v>
      </c>
      <c r="L156" s="59">
        <f t="shared" si="235"/>
        <v>-0.32210676146956096</v>
      </c>
      <c r="M156" s="59">
        <f t="shared" si="235"/>
        <v>-0.33904567084275211</v>
      </c>
      <c r="N156" s="59">
        <f t="shared" si="235"/>
        <v>-0.35641367538267271</v>
      </c>
    </row>
    <row r="157" spans="1:15" x14ac:dyDescent="0.2">
      <c r="A157" s="58" t="s">
        <v>135</v>
      </c>
      <c r="B157" s="58">
        <f>Historicals!B164</f>
        <v>225</v>
      </c>
      <c r="C157" s="58">
        <f>Historicals!C164</f>
        <v>258</v>
      </c>
      <c r="D157" s="58">
        <f>Historicals!D164</f>
        <v>278</v>
      </c>
      <c r="E157" s="58">
        <f>Historicals!E164</f>
        <v>286</v>
      </c>
      <c r="F157" s="58">
        <f>Historicals!F164</f>
        <v>278</v>
      </c>
      <c r="G157" s="58">
        <f>Historicals!G164</f>
        <v>438</v>
      </c>
      <c r="H157" s="58">
        <f>Historicals!H164</f>
        <v>278</v>
      </c>
      <c r="I157" s="58">
        <f>Historicals!I164</f>
        <v>222</v>
      </c>
      <c r="J157" s="58">
        <f>+J145*J159</f>
        <v>288.59999999999997</v>
      </c>
      <c r="K157" s="58">
        <f>+K145*K159</f>
        <v>317.45999999999998</v>
      </c>
      <c r="L157" s="58">
        <f>+L145*L159</f>
        <v>349.20600000000002</v>
      </c>
      <c r="M157" s="58">
        <f>+M145*M159</f>
        <v>384.12660000000011</v>
      </c>
      <c r="N157" s="58">
        <f>+N145*N159</f>
        <v>422.53926000000013</v>
      </c>
    </row>
    <row r="158" spans="1:15" x14ac:dyDescent="0.2">
      <c r="A158" s="58" t="s">
        <v>129</v>
      </c>
      <c r="B158" s="59" t="str">
        <f t="shared" ref="B158:H158" si="236">+IFERROR(B157/A157-1,"nm")</f>
        <v>nm</v>
      </c>
      <c r="C158" s="59">
        <f t="shared" si="236"/>
        <v>0.14666666666666672</v>
      </c>
      <c r="D158" s="59">
        <f t="shared" si="236"/>
        <v>7.7519379844961156E-2</v>
      </c>
      <c r="E158" s="59">
        <f t="shared" si="236"/>
        <v>2.877697841726623E-2</v>
      </c>
      <c r="F158" s="59">
        <f t="shared" si="236"/>
        <v>-2.7972027972028024E-2</v>
      </c>
      <c r="G158" s="59">
        <f t="shared" si="236"/>
        <v>0.57553956834532372</v>
      </c>
      <c r="H158" s="59">
        <f t="shared" si="236"/>
        <v>-0.36529680365296802</v>
      </c>
      <c r="I158" s="59">
        <f>+IFERROR(I157/H157-1,"nm")</f>
        <v>-0.20143884892086328</v>
      </c>
      <c r="J158" s="59">
        <v>0</v>
      </c>
      <c r="K158" s="59">
        <f t="shared" ref="K158:N158" si="237">+IFERROR(K157/J157-1,"nm")</f>
        <v>0.10000000000000009</v>
      </c>
      <c r="L158" s="59">
        <f t="shared" si="237"/>
        <v>0.10000000000000009</v>
      </c>
      <c r="M158" s="59">
        <f t="shared" si="237"/>
        <v>0.10000000000000031</v>
      </c>
      <c r="N158" s="59">
        <f t="shared" si="237"/>
        <v>0.10000000000000009</v>
      </c>
    </row>
    <row r="159" spans="1:15" x14ac:dyDescent="0.2">
      <c r="A159" s="58" t="s">
        <v>133</v>
      </c>
      <c r="B159" s="59">
        <f t="shared" ref="B159:H159" si="238">+IFERROR(B157/B$145,"nm")</f>
        <v>1.9565217391304348</v>
      </c>
      <c r="C159" s="59">
        <f t="shared" si="238"/>
        <v>3.5342465753424657</v>
      </c>
      <c r="D159" s="59">
        <f t="shared" si="238"/>
        <v>3.8082191780821919</v>
      </c>
      <c r="E159" s="59">
        <f t="shared" si="238"/>
        <v>3.25</v>
      </c>
      <c r="F159" s="59">
        <f t="shared" si="238"/>
        <v>6.6190476190476186</v>
      </c>
      <c r="G159" s="59">
        <f t="shared" si="238"/>
        <v>14.6</v>
      </c>
      <c r="H159" s="59">
        <f t="shared" si="238"/>
        <v>11.12</v>
      </c>
      <c r="I159" s="59">
        <f>+IFERROR(I157/I$145,"nm")</f>
        <v>2.1764705882352939</v>
      </c>
      <c r="J159" s="59">
        <f>+I159</f>
        <v>2.1764705882352939</v>
      </c>
      <c r="K159" s="59">
        <f t="shared" ref="K159:N159" si="239">+J159</f>
        <v>2.1764705882352939</v>
      </c>
      <c r="L159" s="59">
        <f t="shared" si="239"/>
        <v>2.1764705882352939</v>
      </c>
      <c r="M159" s="59">
        <f t="shared" si="239"/>
        <v>2.1764705882352939</v>
      </c>
      <c r="N159" s="59">
        <f t="shared" si="239"/>
        <v>2.1764705882352939</v>
      </c>
    </row>
    <row r="160" spans="1:15" x14ac:dyDescent="0.2">
      <c r="A160" s="58" t="s">
        <v>141</v>
      </c>
      <c r="B160" s="58">
        <f>Historicals!B153</f>
        <v>484</v>
      </c>
      <c r="C160" s="58">
        <f>Historicals!C153</f>
        <v>511</v>
      </c>
      <c r="D160" s="58">
        <f>Historicals!D153</f>
        <v>533</v>
      </c>
      <c r="E160" s="58">
        <f>Historicals!E153</f>
        <v>597</v>
      </c>
      <c r="F160" s="58">
        <f>Historicals!F153</f>
        <v>665</v>
      </c>
      <c r="G160" s="58">
        <f>Historicals!G153</f>
        <v>830</v>
      </c>
      <c r="H160" s="58">
        <f>Historicals!H153</f>
        <v>780</v>
      </c>
      <c r="I160" s="58">
        <f>Historicals!I153</f>
        <v>789</v>
      </c>
      <c r="J160" s="58">
        <f>+J145*J162</f>
        <v>1025.7</v>
      </c>
      <c r="K160" s="58">
        <f>+K145*K162</f>
        <v>1128.2700000000002</v>
      </c>
      <c r="L160" s="58">
        <f>+L145*L162</f>
        <v>1241.0970000000002</v>
      </c>
      <c r="M160" s="58">
        <f>+M145*M162</f>
        <v>1365.2067000000004</v>
      </c>
      <c r="N160" s="58">
        <f>+N145*N162</f>
        <v>1501.7273700000005</v>
      </c>
    </row>
    <row r="161" spans="1:15" x14ac:dyDescent="0.2">
      <c r="A161" s="58" t="s">
        <v>129</v>
      </c>
      <c r="B161" s="59" t="str">
        <f t="shared" ref="B161:H161" si="240">+IFERROR(B160/A160-1,"nm")</f>
        <v>nm</v>
      </c>
      <c r="C161" s="59">
        <f t="shared" si="240"/>
        <v>5.5785123966942241E-2</v>
      </c>
      <c r="D161" s="59">
        <f t="shared" si="240"/>
        <v>4.3052837573385627E-2</v>
      </c>
      <c r="E161" s="59">
        <f t="shared" si="240"/>
        <v>0.12007504690431525</v>
      </c>
      <c r="F161" s="59">
        <f t="shared" si="240"/>
        <v>0.11390284757118918</v>
      </c>
      <c r="G161" s="59">
        <f t="shared" si="240"/>
        <v>0.24812030075187974</v>
      </c>
      <c r="H161" s="59">
        <f t="shared" si="240"/>
        <v>-6.0240963855421659E-2</v>
      </c>
      <c r="I161" s="59">
        <f>+IFERROR(I160/H160-1,"nm")</f>
        <v>1.1538461538461497E-2</v>
      </c>
      <c r="J161" s="59">
        <f>+J162+J163</f>
        <v>7.7352941176470589</v>
      </c>
      <c r="K161" s="59">
        <f t="shared" ref="K161:N161" si="241">+K162+K163</f>
        <v>7.7352941176470589</v>
      </c>
      <c r="L161" s="59">
        <f t="shared" si="241"/>
        <v>7.7352941176470589</v>
      </c>
      <c r="M161" s="59">
        <f t="shared" si="241"/>
        <v>7.7352941176470589</v>
      </c>
      <c r="N161" s="59">
        <f t="shared" si="241"/>
        <v>7.7352941176470589</v>
      </c>
    </row>
    <row r="162" spans="1:15" x14ac:dyDescent="0.2">
      <c r="A162" s="58" t="s">
        <v>133</v>
      </c>
      <c r="B162" s="59">
        <f t="shared" ref="B162:H162" si="242">+IFERROR(B160/B$145,"nm")</f>
        <v>4.2086956521739127</v>
      </c>
      <c r="C162" s="59">
        <f t="shared" si="242"/>
        <v>7</v>
      </c>
      <c r="D162" s="59">
        <f t="shared" si="242"/>
        <v>7.3013698630136989</v>
      </c>
      <c r="E162" s="59">
        <f t="shared" si="242"/>
        <v>6.7840909090909092</v>
      </c>
      <c r="F162" s="59">
        <f t="shared" si="242"/>
        <v>15.833333333333334</v>
      </c>
      <c r="G162" s="59">
        <f t="shared" si="242"/>
        <v>27.666666666666668</v>
      </c>
      <c r="H162" s="59">
        <f t="shared" si="242"/>
        <v>31.2</v>
      </c>
      <c r="I162" s="59">
        <f>+IFERROR(I160/I$145,"nm")</f>
        <v>7.7352941176470589</v>
      </c>
      <c r="J162" s="59">
        <f>+I162</f>
        <v>7.7352941176470589</v>
      </c>
      <c r="K162" s="59">
        <f t="shared" ref="K162:N162" si="243">+J162</f>
        <v>7.7352941176470589</v>
      </c>
      <c r="L162" s="59">
        <f t="shared" si="243"/>
        <v>7.7352941176470589</v>
      </c>
      <c r="M162" s="59">
        <f t="shared" si="243"/>
        <v>7.7352941176470589</v>
      </c>
      <c r="N162" s="59">
        <f t="shared" si="243"/>
        <v>7.7352941176470589</v>
      </c>
    </row>
    <row r="163" spans="1:15" x14ac:dyDescent="0.2">
      <c r="A163" s="62" t="s">
        <v>104</v>
      </c>
      <c r="B163" s="62"/>
      <c r="C163" s="62"/>
      <c r="D163" s="62"/>
      <c r="E163" s="62"/>
      <c r="F163" s="62"/>
      <c r="G163" s="62"/>
      <c r="H163" s="62"/>
      <c r="I163" s="62"/>
      <c r="J163" s="63"/>
      <c r="K163" s="63"/>
      <c r="L163" s="63"/>
      <c r="M163" s="63"/>
      <c r="N163" s="63"/>
    </row>
    <row r="164" spans="1:15" x14ac:dyDescent="0.2">
      <c r="A164" s="58" t="s">
        <v>136</v>
      </c>
      <c r="B164" s="58">
        <f>Historicals!B129</f>
        <v>1982</v>
      </c>
      <c r="C164" s="58">
        <f>Historicals!C129</f>
        <v>1955</v>
      </c>
      <c r="D164" s="58">
        <f>Historicals!D129</f>
        <v>2042</v>
      </c>
      <c r="E164" s="58">
        <f>Historicals!E129</f>
        <v>1886</v>
      </c>
      <c r="F164" s="58">
        <f>Historicals!F129</f>
        <v>1906</v>
      </c>
      <c r="G164" s="58">
        <f>Historicals!G129</f>
        <v>1846</v>
      </c>
      <c r="H164" s="58">
        <f>Historicals!H129</f>
        <v>2205</v>
      </c>
      <c r="I164" s="58">
        <f>Historicals!I129</f>
        <v>2346</v>
      </c>
      <c r="J164" s="58">
        <f>+SUM(J166+J170+J174+J178)</f>
        <v>2623.65</v>
      </c>
      <c r="K164" s="58">
        <f t="shared" ref="K164:N164" si="244">+SUM(K166+K170+K174+K178)</f>
        <v>2886.0150000000003</v>
      </c>
      <c r="L164" s="58">
        <f t="shared" si="244"/>
        <v>3174.6165000000005</v>
      </c>
      <c r="M164" s="58">
        <f t="shared" si="244"/>
        <v>3492.0781500000012</v>
      </c>
      <c r="N164" s="58">
        <f t="shared" si="244"/>
        <v>3841.2859650000009</v>
      </c>
    </row>
    <row r="165" spans="1:15" x14ac:dyDescent="0.2">
      <c r="A165" s="58" t="s">
        <v>129</v>
      </c>
      <c r="B165" s="59" t="str">
        <f t="shared" ref="B165:H165" si="245">+IFERROR(B164/A164-1,"nm")</f>
        <v>nm</v>
      </c>
      <c r="C165" s="59">
        <f t="shared" si="245"/>
        <v>-1.3622603430877955E-2</v>
      </c>
      <c r="D165" s="59">
        <f t="shared" si="245"/>
        <v>4.4501278772378416E-2</v>
      </c>
      <c r="E165" s="59">
        <f t="shared" si="245"/>
        <v>-7.6395690499510338E-2</v>
      </c>
      <c r="F165" s="59">
        <f t="shared" si="245"/>
        <v>1.0604453870625585E-2</v>
      </c>
      <c r="G165" s="59">
        <f t="shared" si="245"/>
        <v>-3.147953830010497E-2</v>
      </c>
      <c r="H165" s="59">
        <f t="shared" si="245"/>
        <v>0.19447453954496208</v>
      </c>
      <c r="I165" s="59">
        <f>+IFERROR(I164/H164-1,"nm")</f>
        <v>6.3945578231292544E-2</v>
      </c>
      <c r="J165" s="59">
        <f t="shared" ref="J165:N165" si="246">+IFERROR(J164/I164-1,"nm")</f>
        <v>0.11835038363171368</v>
      </c>
      <c r="K165" s="59">
        <f t="shared" si="246"/>
        <v>0.10000000000000009</v>
      </c>
      <c r="L165" s="59">
        <f t="shared" si="246"/>
        <v>0.10000000000000009</v>
      </c>
      <c r="M165" s="59">
        <f t="shared" si="246"/>
        <v>0.10000000000000009</v>
      </c>
      <c r="N165" s="59">
        <f t="shared" si="246"/>
        <v>9.9999999999999867E-2</v>
      </c>
    </row>
    <row r="166" spans="1:15" x14ac:dyDescent="0.2">
      <c r="A166" s="58" t="s">
        <v>113</v>
      </c>
      <c r="B166" s="58">
        <f>Historicals!B130</f>
        <v>0</v>
      </c>
      <c r="C166" s="58">
        <f>Historicals!C130</f>
        <v>0</v>
      </c>
      <c r="D166" s="58">
        <f>Historicals!D130</f>
        <v>0</v>
      </c>
      <c r="E166" s="58">
        <f>Historicals!E130</f>
        <v>0</v>
      </c>
      <c r="F166" s="58">
        <f>Historicals!F130</f>
        <v>0</v>
      </c>
      <c r="G166" s="58">
        <f>Historicals!G130</f>
        <v>0</v>
      </c>
      <c r="H166" s="58">
        <f>Historicals!H130</f>
        <v>1986</v>
      </c>
      <c r="I166" s="58">
        <f>Historicals!I130</f>
        <v>2094</v>
      </c>
      <c r="J166" s="58">
        <f>+I166*(1+J167)</f>
        <v>2303.4</v>
      </c>
      <c r="K166" s="58">
        <f t="shared" ref="K166:N166" si="247">+J166*(1+K167)</f>
        <v>2533.7400000000002</v>
      </c>
      <c r="L166" s="58">
        <f t="shared" si="247"/>
        <v>2787.1140000000005</v>
      </c>
      <c r="M166" s="58">
        <f t="shared" si="247"/>
        <v>3065.8254000000006</v>
      </c>
      <c r="N166" s="58">
        <f t="shared" si="247"/>
        <v>3372.407940000001</v>
      </c>
    </row>
    <row r="167" spans="1:15" x14ac:dyDescent="0.2">
      <c r="A167" s="58" t="s">
        <v>129</v>
      </c>
      <c r="B167" s="59" t="str">
        <f t="shared" ref="B167:H167" si="248">+IFERROR(B166/A166-1,"nm")</f>
        <v>nm</v>
      </c>
      <c r="C167" s="59" t="str">
        <f t="shared" si="248"/>
        <v>nm</v>
      </c>
      <c r="D167" s="59" t="str">
        <f t="shared" si="248"/>
        <v>nm</v>
      </c>
      <c r="E167" s="59" t="str">
        <f t="shared" si="248"/>
        <v>nm</v>
      </c>
      <c r="F167" s="59" t="str">
        <f t="shared" si="248"/>
        <v>nm</v>
      </c>
      <c r="G167" s="59" t="str">
        <f t="shared" si="248"/>
        <v>nm</v>
      </c>
      <c r="H167" s="59" t="str">
        <f t="shared" si="248"/>
        <v>nm</v>
      </c>
      <c r="I167" s="59">
        <f>+IFERROR(I166/H166-1,"nm")</f>
        <v>5.4380664652567967E-2</v>
      </c>
      <c r="J167" s="59">
        <f>+J168+J169</f>
        <v>0.1</v>
      </c>
      <c r="K167" s="59">
        <f t="shared" ref="K167:N167" si="249">+K168+K169</f>
        <v>0.1</v>
      </c>
      <c r="L167" s="59">
        <f t="shared" si="249"/>
        <v>0.1</v>
      </c>
      <c r="M167" s="59">
        <f t="shared" si="249"/>
        <v>0.1</v>
      </c>
      <c r="N167" s="59">
        <f t="shared" si="249"/>
        <v>0.1</v>
      </c>
    </row>
    <row r="168" spans="1:15" x14ac:dyDescent="0.2">
      <c r="A168" s="58" t="s">
        <v>137</v>
      </c>
      <c r="B168" s="59">
        <f>Historicals!B202</f>
        <v>0</v>
      </c>
      <c r="C168" s="59">
        <f>Historicals!C202</f>
        <v>0</v>
      </c>
      <c r="D168" s="59">
        <f>Historicals!D202</f>
        <v>0</v>
      </c>
      <c r="E168" s="59">
        <f>Historicals!E202</f>
        <v>0</v>
      </c>
      <c r="F168" s="59">
        <f>Historicals!F202</f>
        <v>0</v>
      </c>
      <c r="G168" s="59">
        <f>Historicals!G202</f>
        <v>0</v>
      </c>
      <c r="H168" s="59">
        <f>Historicals!H202</f>
        <v>0</v>
      </c>
      <c r="I168" s="59">
        <f>Historicals!I202</f>
        <v>0.06</v>
      </c>
      <c r="J168" s="59">
        <v>0.1</v>
      </c>
      <c r="K168" s="59">
        <f t="shared" ref="K168:N169" si="250">+J168</f>
        <v>0.1</v>
      </c>
      <c r="L168" s="59">
        <f t="shared" si="250"/>
        <v>0.1</v>
      </c>
      <c r="M168" s="59">
        <f t="shared" si="250"/>
        <v>0.1</v>
      </c>
      <c r="N168" s="59">
        <f t="shared" si="250"/>
        <v>0.1</v>
      </c>
      <c r="O168" t="s">
        <v>219</v>
      </c>
    </row>
    <row r="169" spans="1:15" x14ac:dyDescent="0.2">
      <c r="A169" s="58" t="s">
        <v>138</v>
      </c>
      <c r="B169" s="59" t="str">
        <f t="shared" ref="B169:H169" si="251">+IFERROR(B167-B168,"nm")</f>
        <v>nm</v>
      </c>
      <c r="C169" s="59" t="str">
        <f t="shared" si="251"/>
        <v>nm</v>
      </c>
      <c r="D169" s="59" t="str">
        <f t="shared" si="251"/>
        <v>nm</v>
      </c>
      <c r="E169" s="59" t="str">
        <f t="shared" si="251"/>
        <v>nm</v>
      </c>
      <c r="F169" s="59" t="str">
        <f t="shared" si="251"/>
        <v>nm</v>
      </c>
      <c r="G169" s="59" t="str">
        <f t="shared" si="251"/>
        <v>nm</v>
      </c>
      <c r="H169" s="59" t="str">
        <f t="shared" si="251"/>
        <v>nm</v>
      </c>
      <c r="I169" s="59">
        <f>+IFERROR(I167-I168,"nm")</f>
        <v>-5.6193353474320307E-3</v>
      </c>
      <c r="J169" s="59">
        <v>0</v>
      </c>
      <c r="K169" s="59">
        <f t="shared" si="250"/>
        <v>0</v>
      </c>
      <c r="L169" s="59">
        <f t="shared" si="250"/>
        <v>0</v>
      </c>
      <c r="M169" s="59">
        <f t="shared" si="250"/>
        <v>0</v>
      </c>
      <c r="N169" s="59">
        <f t="shared" si="250"/>
        <v>0</v>
      </c>
    </row>
    <row r="170" spans="1:15" x14ac:dyDescent="0.2">
      <c r="A170" s="58" t="s">
        <v>114</v>
      </c>
      <c r="B170" s="58">
        <f>Historicals!B131</f>
        <v>0</v>
      </c>
      <c r="C170" s="58">
        <f>Historicals!C131</f>
        <v>0</v>
      </c>
      <c r="D170" s="58">
        <f>Historicals!D131</f>
        <v>0</v>
      </c>
      <c r="E170" s="58">
        <f>Historicals!E131</f>
        <v>0</v>
      </c>
      <c r="F170" s="58">
        <f>Historicals!F131</f>
        <v>0</v>
      </c>
      <c r="G170" s="58">
        <f>Historicals!G131</f>
        <v>0</v>
      </c>
      <c r="H170" s="58">
        <f>Historicals!H131</f>
        <v>104</v>
      </c>
      <c r="I170" s="58">
        <f>Historicals!I131</f>
        <v>103</v>
      </c>
      <c r="J170" s="58">
        <f>+I170*(1+J171)</f>
        <v>113.30000000000001</v>
      </c>
      <c r="K170" s="58">
        <f t="shared" ref="K170:N170" si="252">+J170*(1+K171)</f>
        <v>124.63000000000002</v>
      </c>
      <c r="L170" s="58">
        <f t="shared" si="252"/>
        <v>137.09300000000005</v>
      </c>
      <c r="M170" s="58">
        <f t="shared" si="252"/>
        <v>150.80230000000006</v>
      </c>
      <c r="N170" s="58">
        <f t="shared" si="252"/>
        <v>165.88253000000009</v>
      </c>
    </row>
    <row r="171" spans="1:15" x14ac:dyDescent="0.2">
      <c r="A171" s="58" t="s">
        <v>129</v>
      </c>
      <c r="B171" s="59" t="str">
        <f t="shared" ref="B171:H171" si="253">+IFERROR(B170/A170-1,"nm")</f>
        <v>nm</v>
      </c>
      <c r="C171" s="59" t="str">
        <f t="shared" si="253"/>
        <v>nm</v>
      </c>
      <c r="D171" s="59" t="str">
        <f t="shared" si="253"/>
        <v>nm</v>
      </c>
      <c r="E171" s="59" t="str">
        <f t="shared" si="253"/>
        <v>nm</v>
      </c>
      <c r="F171" s="59" t="str">
        <f t="shared" si="253"/>
        <v>nm</v>
      </c>
      <c r="G171" s="59" t="str">
        <f t="shared" si="253"/>
        <v>nm</v>
      </c>
      <c r="H171" s="59" t="str">
        <f t="shared" si="253"/>
        <v>nm</v>
      </c>
      <c r="I171" s="59">
        <f>+IFERROR(I170/H170-1,"nm")</f>
        <v>-9.6153846153845812E-3</v>
      </c>
      <c r="J171" s="59">
        <f>+J172+J173</f>
        <v>0.1</v>
      </c>
      <c r="K171" s="59">
        <f t="shared" ref="K171:N171" si="254">+K172+K173</f>
        <v>0.1</v>
      </c>
      <c r="L171" s="59">
        <f t="shared" si="254"/>
        <v>0.1</v>
      </c>
      <c r="M171" s="59">
        <f t="shared" si="254"/>
        <v>0.1</v>
      </c>
      <c r="N171" s="59">
        <f t="shared" si="254"/>
        <v>0.1</v>
      </c>
    </row>
    <row r="172" spans="1:15" x14ac:dyDescent="0.2">
      <c r="A172" s="58" t="s">
        <v>137</v>
      </c>
      <c r="B172" s="59">
        <f>Historicals!B203</f>
        <v>0</v>
      </c>
      <c r="C172" s="59">
        <f>Historicals!C203</f>
        <v>0</v>
      </c>
      <c r="D172" s="59">
        <f>Historicals!D203</f>
        <v>0</v>
      </c>
      <c r="E172" s="59">
        <f>Historicals!E203</f>
        <v>0</v>
      </c>
      <c r="F172" s="59">
        <f>Historicals!F203</f>
        <v>0</v>
      </c>
      <c r="G172" s="59">
        <f>Historicals!G203</f>
        <v>0</v>
      </c>
      <c r="H172" s="59">
        <f>Historicals!H203</f>
        <v>0</v>
      </c>
      <c r="I172" s="59">
        <f>Historicals!I203</f>
        <v>-0.03</v>
      </c>
      <c r="J172" s="59">
        <v>0.1</v>
      </c>
      <c r="K172" s="59">
        <f t="shared" ref="K172:N173" si="255">+J172</f>
        <v>0.1</v>
      </c>
      <c r="L172" s="59">
        <f t="shared" si="255"/>
        <v>0.1</v>
      </c>
      <c r="M172" s="59">
        <f t="shared" si="255"/>
        <v>0.1</v>
      </c>
      <c r="N172" s="59">
        <f t="shared" si="255"/>
        <v>0.1</v>
      </c>
      <c r="O172" t="s">
        <v>219</v>
      </c>
    </row>
    <row r="173" spans="1:15" x14ac:dyDescent="0.2">
      <c r="A173" s="58" t="s">
        <v>138</v>
      </c>
      <c r="B173" s="59" t="str">
        <f t="shared" ref="B173:H173" si="256">+IFERROR(B171-B172,"nm")</f>
        <v>nm</v>
      </c>
      <c r="C173" s="59" t="str">
        <f t="shared" si="256"/>
        <v>nm</v>
      </c>
      <c r="D173" s="59" t="str">
        <f t="shared" si="256"/>
        <v>nm</v>
      </c>
      <c r="E173" s="59" t="str">
        <f t="shared" si="256"/>
        <v>nm</v>
      </c>
      <c r="F173" s="59" t="str">
        <f t="shared" si="256"/>
        <v>nm</v>
      </c>
      <c r="G173" s="59" t="str">
        <f t="shared" si="256"/>
        <v>nm</v>
      </c>
      <c r="H173" s="59" t="str">
        <f t="shared" si="256"/>
        <v>nm</v>
      </c>
      <c r="I173" s="59">
        <f>+IFERROR(I171-I172,"nm")</f>
        <v>2.0384615384615418E-2</v>
      </c>
      <c r="J173" s="59">
        <v>0</v>
      </c>
      <c r="K173" s="59">
        <f t="shared" si="255"/>
        <v>0</v>
      </c>
      <c r="L173" s="59">
        <f t="shared" si="255"/>
        <v>0</v>
      </c>
      <c r="M173" s="59">
        <f t="shared" si="255"/>
        <v>0</v>
      </c>
      <c r="N173" s="59">
        <f t="shared" si="255"/>
        <v>0</v>
      </c>
    </row>
    <row r="174" spans="1:15" x14ac:dyDescent="0.2">
      <c r="A174" s="58" t="s">
        <v>115</v>
      </c>
      <c r="B174" s="58">
        <f>Historicals!B132</f>
        <v>0</v>
      </c>
      <c r="C174" s="58">
        <f>Historicals!C132</f>
        <v>0</v>
      </c>
      <c r="D174" s="58">
        <f>Historicals!D132</f>
        <v>0</v>
      </c>
      <c r="E174" s="58">
        <f>Historicals!E132</f>
        <v>0</v>
      </c>
      <c r="F174" s="58">
        <f>Historicals!F132</f>
        <v>0</v>
      </c>
      <c r="G174" s="58">
        <f>Historicals!G132</f>
        <v>0</v>
      </c>
      <c r="H174" s="58">
        <f>Historicals!H132</f>
        <v>29</v>
      </c>
      <c r="I174" s="58">
        <f>Historicals!I132</f>
        <v>26</v>
      </c>
      <c r="J174" s="58">
        <f>+I174*(1+J175)</f>
        <v>28.6</v>
      </c>
      <c r="K174" s="58">
        <f t="shared" ref="K174:N174" si="257">+J174*(1+K175)</f>
        <v>31.460000000000004</v>
      </c>
      <c r="L174" s="58">
        <f t="shared" si="257"/>
        <v>34.606000000000009</v>
      </c>
      <c r="M174" s="58">
        <f t="shared" si="257"/>
        <v>38.066600000000015</v>
      </c>
      <c r="N174" s="58">
        <f t="shared" si="257"/>
        <v>41.873260000000023</v>
      </c>
    </row>
    <row r="175" spans="1:15" x14ac:dyDescent="0.2">
      <c r="A175" s="58" t="s">
        <v>129</v>
      </c>
      <c r="B175" s="59" t="str">
        <f t="shared" ref="B175:H175" si="258">+IFERROR(B174/A174-1,"nm")</f>
        <v>nm</v>
      </c>
      <c r="C175" s="59" t="str">
        <f t="shared" si="258"/>
        <v>nm</v>
      </c>
      <c r="D175" s="59" t="str">
        <f t="shared" si="258"/>
        <v>nm</v>
      </c>
      <c r="E175" s="59" t="str">
        <f t="shared" si="258"/>
        <v>nm</v>
      </c>
      <c r="F175" s="59" t="str">
        <f t="shared" si="258"/>
        <v>nm</v>
      </c>
      <c r="G175" s="59" t="str">
        <f t="shared" si="258"/>
        <v>nm</v>
      </c>
      <c r="H175" s="59" t="str">
        <f t="shared" si="258"/>
        <v>nm</v>
      </c>
      <c r="I175" s="59">
        <f>+IFERROR(I174/H174-1,"nm")</f>
        <v>-0.10344827586206895</v>
      </c>
      <c r="J175" s="59">
        <f>+J176+J177</f>
        <v>0.1</v>
      </c>
      <c r="K175" s="59">
        <f t="shared" ref="K175:N175" si="259">+K176+K177</f>
        <v>0.1</v>
      </c>
      <c r="L175" s="59">
        <f t="shared" si="259"/>
        <v>0.1</v>
      </c>
      <c r="M175" s="59">
        <f t="shared" si="259"/>
        <v>0.1</v>
      </c>
      <c r="N175" s="59">
        <f t="shared" si="259"/>
        <v>0.1</v>
      </c>
    </row>
    <row r="176" spans="1:15" x14ac:dyDescent="0.2">
      <c r="A176" s="58" t="s">
        <v>137</v>
      </c>
      <c r="B176" s="59">
        <f>Historicals!B204</f>
        <v>0</v>
      </c>
      <c r="C176" s="59">
        <f>Historicals!C204</f>
        <v>0</v>
      </c>
      <c r="D176" s="59">
        <f>Historicals!D204</f>
        <v>0</v>
      </c>
      <c r="E176" s="59">
        <f>Historicals!E204</f>
        <v>0</v>
      </c>
      <c r="F176" s="59">
        <f>Historicals!F204</f>
        <v>0</v>
      </c>
      <c r="G176" s="59">
        <f>Historicals!G204</f>
        <v>0</v>
      </c>
      <c r="H176" s="59">
        <f>Historicals!H204</f>
        <v>0</v>
      </c>
      <c r="I176" s="59">
        <f>Historicals!I204</f>
        <v>-0.16</v>
      </c>
      <c r="J176" s="59">
        <v>0.1</v>
      </c>
      <c r="K176" s="59">
        <f t="shared" ref="K176:N177" si="260">+J176</f>
        <v>0.1</v>
      </c>
      <c r="L176" s="59">
        <f t="shared" si="260"/>
        <v>0.1</v>
      </c>
      <c r="M176" s="59">
        <f t="shared" si="260"/>
        <v>0.1</v>
      </c>
      <c r="N176" s="59">
        <f t="shared" si="260"/>
        <v>0.1</v>
      </c>
      <c r="O176" t="s">
        <v>219</v>
      </c>
    </row>
    <row r="177" spans="1:15" x14ac:dyDescent="0.2">
      <c r="A177" s="58" t="s">
        <v>138</v>
      </c>
      <c r="B177" s="59" t="str">
        <f t="shared" ref="B177:H177" si="261">+IFERROR(B175-B176,"nm")</f>
        <v>nm</v>
      </c>
      <c r="C177" s="59" t="str">
        <f t="shared" si="261"/>
        <v>nm</v>
      </c>
      <c r="D177" s="59" t="str">
        <f t="shared" si="261"/>
        <v>nm</v>
      </c>
      <c r="E177" s="59" t="str">
        <f t="shared" si="261"/>
        <v>nm</v>
      </c>
      <c r="F177" s="59" t="str">
        <f t="shared" si="261"/>
        <v>nm</v>
      </c>
      <c r="G177" s="59" t="str">
        <f t="shared" si="261"/>
        <v>nm</v>
      </c>
      <c r="H177" s="59" t="str">
        <f t="shared" si="261"/>
        <v>nm</v>
      </c>
      <c r="I177" s="59">
        <f>+IFERROR(I175-I176,"nm")</f>
        <v>5.6551724137931053E-2</v>
      </c>
      <c r="J177" s="59">
        <v>0</v>
      </c>
      <c r="K177" s="59">
        <f t="shared" si="260"/>
        <v>0</v>
      </c>
      <c r="L177" s="59">
        <f t="shared" si="260"/>
        <v>0</v>
      </c>
      <c r="M177" s="59">
        <f t="shared" si="260"/>
        <v>0</v>
      </c>
      <c r="N177" s="59">
        <f t="shared" si="260"/>
        <v>0</v>
      </c>
    </row>
    <row r="178" spans="1:15" x14ac:dyDescent="0.2">
      <c r="A178" s="58" t="s">
        <v>121</v>
      </c>
      <c r="B178" s="58">
        <f>Historicals!B133</f>
        <v>0</v>
      </c>
      <c r="C178" s="58">
        <f>Historicals!C133</f>
        <v>0</v>
      </c>
      <c r="D178" s="58">
        <f>Historicals!D133</f>
        <v>0</v>
      </c>
      <c r="E178" s="58">
        <f>Historicals!E133</f>
        <v>0</v>
      </c>
      <c r="F178" s="58">
        <f>Historicals!F133</f>
        <v>0</v>
      </c>
      <c r="G178" s="58">
        <f>Historicals!G133</f>
        <v>0</v>
      </c>
      <c r="H178" s="58">
        <f>Historicals!H133</f>
        <v>86</v>
      </c>
      <c r="I178" s="58">
        <f>Historicals!I133</f>
        <v>123</v>
      </c>
      <c r="J178" s="58">
        <f>+I178*(1+J179)</f>
        <v>178.35</v>
      </c>
      <c r="K178" s="58">
        <f t="shared" ref="K178:N178" si="262">+J178*(1+K179)</f>
        <v>196.185</v>
      </c>
      <c r="L178" s="58">
        <f t="shared" si="262"/>
        <v>215.80350000000001</v>
      </c>
      <c r="M178" s="58">
        <f t="shared" si="262"/>
        <v>237.38385000000002</v>
      </c>
      <c r="N178" s="58">
        <f t="shared" si="262"/>
        <v>261.12223500000005</v>
      </c>
    </row>
    <row r="179" spans="1:15" x14ac:dyDescent="0.2">
      <c r="A179" s="58" t="s">
        <v>129</v>
      </c>
      <c r="B179" s="59" t="str">
        <f t="shared" ref="B179:H179" si="263">+IFERROR(B178/A178-1,"nm")</f>
        <v>nm</v>
      </c>
      <c r="C179" s="59" t="str">
        <f t="shared" si="263"/>
        <v>nm</v>
      </c>
      <c r="D179" s="59" t="str">
        <f t="shared" si="263"/>
        <v>nm</v>
      </c>
      <c r="E179" s="59" t="str">
        <f t="shared" si="263"/>
        <v>nm</v>
      </c>
      <c r="F179" s="59" t="str">
        <f t="shared" si="263"/>
        <v>nm</v>
      </c>
      <c r="G179" s="59" t="str">
        <f t="shared" si="263"/>
        <v>nm</v>
      </c>
      <c r="H179" s="59" t="str">
        <f t="shared" si="263"/>
        <v>nm</v>
      </c>
      <c r="I179" s="59">
        <f>+IFERROR(I178/H178-1,"nm")</f>
        <v>0.43023255813953498</v>
      </c>
      <c r="J179" s="59">
        <v>0.45</v>
      </c>
      <c r="K179" s="59">
        <f t="shared" ref="K179:N179" si="264">+K180+K181</f>
        <v>0.1</v>
      </c>
      <c r="L179" s="59">
        <f t="shared" si="264"/>
        <v>0.1</v>
      </c>
      <c r="M179" s="59">
        <f t="shared" si="264"/>
        <v>0.1</v>
      </c>
      <c r="N179" s="59">
        <f t="shared" si="264"/>
        <v>0.1</v>
      </c>
    </row>
    <row r="180" spans="1:15" x14ac:dyDescent="0.2">
      <c r="A180" s="58" t="s">
        <v>137</v>
      </c>
      <c r="B180" s="59">
        <f>Historicals!B205</f>
        <v>0</v>
      </c>
      <c r="C180" s="59">
        <f>Historicals!C205</f>
        <v>0</v>
      </c>
      <c r="D180" s="59">
        <f>Historicals!D205</f>
        <v>0</v>
      </c>
      <c r="E180" s="59">
        <f>Historicals!E205</f>
        <v>0</v>
      </c>
      <c r="F180" s="59">
        <f>Historicals!F205</f>
        <v>0</v>
      </c>
      <c r="G180" s="59">
        <f>Historicals!G205</f>
        <v>0</v>
      </c>
      <c r="H180" s="59">
        <f>Historicals!H205</f>
        <v>0</v>
      </c>
      <c r="I180" s="59">
        <f>Historicals!I205</f>
        <v>0.42</v>
      </c>
      <c r="J180" s="59">
        <v>0.1</v>
      </c>
      <c r="K180" s="59">
        <f t="shared" ref="K180:N181" si="265">+J180</f>
        <v>0.1</v>
      </c>
      <c r="L180" s="59">
        <f t="shared" si="265"/>
        <v>0.1</v>
      </c>
      <c r="M180" s="59">
        <f t="shared" si="265"/>
        <v>0.1</v>
      </c>
      <c r="N180" s="59">
        <f t="shared" si="265"/>
        <v>0.1</v>
      </c>
      <c r="O180" t="s">
        <v>219</v>
      </c>
    </row>
    <row r="181" spans="1:15" x14ac:dyDescent="0.2">
      <c r="A181" s="58" t="s">
        <v>138</v>
      </c>
      <c r="B181" s="59" t="str">
        <f t="shared" ref="B181:H181" si="266">+IFERROR(B179-B180,"nm")</f>
        <v>nm</v>
      </c>
      <c r="C181" s="59" t="str">
        <f t="shared" si="266"/>
        <v>nm</v>
      </c>
      <c r="D181" s="59" t="str">
        <f t="shared" si="266"/>
        <v>nm</v>
      </c>
      <c r="E181" s="59" t="str">
        <f t="shared" si="266"/>
        <v>nm</v>
      </c>
      <c r="F181" s="59" t="str">
        <f t="shared" si="266"/>
        <v>nm</v>
      </c>
      <c r="G181" s="59" t="str">
        <f t="shared" si="266"/>
        <v>nm</v>
      </c>
      <c r="H181" s="59" t="str">
        <f t="shared" si="266"/>
        <v>nm</v>
      </c>
      <c r="I181" s="59">
        <f>+IFERROR(I179-I180,"nm")</f>
        <v>1.0232558139534997E-2</v>
      </c>
      <c r="J181" s="59">
        <v>0</v>
      </c>
      <c r="K181" s="59">
        <f t="shared" si="265"/>
        <v>0</v>
      </c>
      <c r="L181" s="59">
        <f t="shared" si="265"/>
        <v>0</v>
      </c>
      <c r="M181" s="59">
        <f t="shared" si="265"/>
        <v>0</v>
      </c>
      <c r="N181" s="59">
        <f t="shared" si="265"/>
        <v>0</v>
      </c>
    </row>
    <row r="182" spans="1:15" x14ac:dyDescent="0.2">
      <c r="A182" s="58" t="s">
        <v>130</v>
      </c>
      <c r="B182" s="58">
        <f>+B189+B185</f>
        <v>535</v>
      </c>
      <c r="C182" s="58">
        <f t="shared" ref="C182:I182" si="267">+C189+C185</f>
        <v>514</v>
      </c>
      <c r="D182" s="58">
        <f t="shared" si="267"/>
        <v>505</v>
      </c>
      <c r="E182" s="58">
        <f t="shared" si="267"/>
        <v>343</v>
      </c>
      <c r="F182" s="58">
        <f t="shared" si="267"/>
        <v>334</v>
      </c>
      <c r="G182" s="58">
        <f t="shared" si="267"/>
        <v>322</v>
      </c>
      <c r="H182" s="58">
        <f t="shared" si="267"/>
        <v>569</v>
      </c>
      <c r="I182" s="58">
        <f t="shared" si="267"/>
        <v>691</v>
      </c>
      <c r="J182" s="58">
        <f>+J164*J184</f>
        <v>865.80450000000008</v>
      </c>
      <c r="K182" s="58">
        <f>+K164*K184</f>
        <v>952.38495000000012</v>
      </c>
      <c r="L182" s="58">
        <f>+L164*L184</f>
        <v>1047.6234450000002</v>
      </c>
      <c r="M182" s="58">
        <f>+M164*M184</f>
        <v>1152.3857895000006</v>
      </c>
      <c r="N182" s="58">
        <f>+N164*N184</f>
        <v>1267.6243684500005</v>
      </c>
      <c r="O182" t="s">
        <v>221</v>
      </c>
    </row>
    <row r="183" spans="1:15" x14ac:dyDescent="0.2">
      <c r="A183" s="58" t="s">
        <v>129</v>
      </c>
      <c r="B183" s="59" t="str">
        <f t="shared" ref="B183:H183" si="268">+IFERROR(B182/A182-1,"nm")</f>
        <v>nm</v>
      </c>
      <c r="C183" s="59">
        <f t="shared" si="268"/>
        <v>-3.9252336448598157E-2</v>
      </c>
      <c r="D183" s="59">
        <f t="shared" si="268"/>
        <v>-1.7509727626459193E-2</v>
      </c>
      <c r="E183" s="59">
        <f t="shared" si="268"/>
        <v>-0.32079207920792074</v>
      </c>
      <c r="F183" s="59">
        <f t="shared" si="268"/>
        <v>-2.6239067055393583E-2</v>
      </c>
      <c r="G183" s="59">
        <f t="shared" si="268"/>
        <v>-3.59281437125748E-2</v>
      </c>
      <c r="H183" s="59">
        <f t="shared" si="268"/>
        <v>0.76708074534161486</v>
      </c>
      <c r="I183" s="59">
        <f>+IFERROR(I182/H182-1,"nm")</f>
        <v>0.21441124780316345</v>
      </c>
      <c r="J183" s="59">
        <f t="shared" ref="J183:N183" si="269">+IFERROR(J182/I182-1,"nm")</f>
        <v>0.25297322720694648</v>
      </c>
      <c r="K183" s="59">
        <f t="shared" si="269"/>
        <v>0.10000000000000009</v>
      </c>
      <c r="L183" s="59">
        <f t="shared" si="269"/>
        <v>0.10000000000000009</v>
      </c>
      <c r="M183" s="59">
        <f t="shared" si="269"/>
        <v>0.10000000000000031</v>
      </c>
      <c r="N183" s="59">
        <f t="shared" si="269"/>
        <v>9.9999999999999867E-2</v>
      </c>
    </row>
    <row r="184" spans="1:15" x14ac:dyDescent="0.2">
      <c r="A184" s="58" t="s">
        <v>131</v>
      </c>
      <c r="B184" s="59">
        <f t="shared" ref="B184:H184" si="270">+IFERROR(B182/B$164,"nm")</f>
        <v>0.26992936427850656</v>
      </c>
      <c r="C184" s="59">
        <f t="shared" si="270"/>
        <v>0.26291560102301792</v>
      </c>
      <c r="D184" s="59">
        <f t="shared" si="270"/>
        <v>0.24730656219392752</v>
      </c>
      <c r="E184" s="59">
        <f t="shared" si="270"/>
        <v>0.18186638388123011</v>
      </c>
      <c r="F184" s="59">
        <f t="shared" si="270"/>
        <v>0.17523609653725078</v>
      </c>
      <c r="G184" s="59">
        <f t="shared" si="270"/>
        <v>0.17443120260021669</v>
      </c>
      <c r="H184" s="59">
        <f t="shared" si="270"/>
        <v>0.25804988662131517</v>
      </c>
      <c r="I184" s="59">
        <f>+IFERROR(I182/I$164,"nm")</f>
        <v>0.29454390451832907</v>
      </c>
      <c r="J184" s="59">
        <v>0.33</v>
      </c>
      <c r="K184" s="59">
        <f t="shared" ref="K184:N184" si="271">+J184</f>
        <v>0.33</v>
      </c>
      <c r="L184" s="59">
        <f t="shared" si="271"/>
        <v>0.33</v>
      </c>
      <c r="M184" s="59">
        <f t="shared" si="271"/>
        <v>0.33</v>
      </c>
      <c r="N184" s="59">
        <f t="shared" si="271"/>
        <v>0.33</v>
      </c>
    </row>
    <row r="185" spans="1:15" x14ac:dyDescent="0.2">
      <c r="A185" s="58" t="s">
        <v>132</v>
      </c>
      <c r="B185" s="58">
        <f>Historicals!B177</f>
        <v>18</v>
      </c>
      <c r="C185" s="58">
        <f>Historicals!C177</f>
        <v>27</v>
      </c>
      <c r="D185" s="58">
        <f>Historicals!D177</f>
        <v>28</v>
      </c>
      <c r="E185" s="58">
        <f>Historicals!E177</f>
        <v>33</v>
      </c>
      <c r="F185" s="58">
        <f>Historicals!F177</f>
        <v>31</v>
      </c>
      <c r="G185" s="58">
        <f>Historicals!G177</f>
        <v>25</v>
      </c>
      <c r="H185" s="58">
        <f>Historicals!H177</f>
        <v>26</v>
      </c>
      <c r="I185" s="58">
        <f>Historicals!I177</f>
        <v>22</v>
      </c>
      <c r="J185" s="58">
        <f>+J188*J195</f>
        <v>58.898265306122454</v>
      </c>
      <c r="K185" s="58">
        <f t="shared" ref="K185:N185" si="272">+K188*K195</f>
        <v>64.788091836734708</v>
      </c>
      <c r="L185" s="58">
        <f t="shared" si="272"/>
        <v>71.266901020408184</v>
      </c>
      <c r="M185" s="58">
        <f t="shared" si="272"/>
        <v>78.39359112244901</v>
      </c>
      <c r="N185" s="58">
        <f t="shared" si="272"/>
        <v>86.232950234693902</v>
      </c>
      <c r="O185" t="s">
        <v>220</v>
      </c>
    </row>
    <row r="186" spans="1:15" x14ac:dyDescent="0.2">
      <c r="A186" s="58" t="s">
        <v>129</v>
      </c>
      <c r="B186" s="59" t="str">
        <f t="shared" ref="B186:H186" si="273">+IFERROR(B185/A185-1,"nm")</f>
        <v>nm</v>
      </c>
      <c r="C186" s="59">
        <f t="shared" si="273"/>
        <v>0.5</v>
      </c>
      <c r="D186" s="59">
        <f t="shared" si="273"/>
        <v>3.7037037037036979E-2</v>
      </c>
      <c r="E186" s="59">
        <f t="shared" si="273"/>
        <v>0.1785714285714286</v>
      </c>
      <c r="F186" s="59">
        <f t="shared" si="273"/>
        <v>-6.0606060606060552E-2</v>
      </c>
      <c r="G186" s="59">
        <f t="shared" si="273"/>
        <v>-0.19354838709677424</v>
      </c>
      <c r="H186" s="59">
        <f t="shared" si="273"/>
        <v>4.0000000000000036E-2</v>
      </c>
      <c r="I186" s="59">
        <f>+IFERROR(I185/H185-1,"nm")</f>
        <v>-0.15384615384615385</v>
      </c>
      <c r="J186" s="59">
        <f>+IFERROR(J185/I185-1,"nm")</f>
        <v>1.6771938775510207</v>
      </c>
      <c r="K186" s="59">
        <f t="shared" ref="K186:N186" si="274">+IFERROR(K185/J185-1,"nm")</f>
        <v>0.10000000000000009</v>
      </c>
      <c r="L186" s="59">
        <f t="shared" si="274"/>
        <v>0.10000000000000009</v>
      </c>
      <c r="M186" s="59">
        <f t="shared" si="274"/>
        <v>0.10000000000000009</v>
      </c>
      <c r="N186" s="59">
        <f t="shared" si="274"/>
        <v>9.9999999999999867E-2</v>
      </c>
    </row>
    <row r="187" spans="1:15" x14ac:dyDescent="0.2">
      <c r="A187" s="58" t="s">
        <v>133</v>
      </c>
      <c r="B187" s="59">
        <f t="shared" ref="B187:H187" si="275">+IFERROR(B185/B$21,"nm")</f>
        <v>1.3100436681222707E-3</v>
      </c>
      <c r="C187" s="59">
        <f t="shared" si="275"/>
        <v>1.8287726903278244E-3</v>
      </c>
      <c r="D187" s="59">
        <f t="shared" si="275"/>
        <v>1.840168243953733E-3</v>
      </c>
      <c r="E187" s="59">
        <f t="shared" si="275"/>
        <v>2.2214742510939076E-3</v>
      </c>
      <c r="F187" s="59">
        <f t="shared" si="275"/>
        <v>1.949440321972079E-3</v>
      </c>
      <c r="G187" s="59">
        <f t="shared" si="275"/>
        <v>1.7260425296879314E-3</v>
      </c>
      <c r="H187" s="59">
        <f t="shared" si="275"/>
        <v>1.5134757552826125E-3</v>
      </c>
      <c r="I187" s="59">
        <f>+IFERROR(I185/I$21,"nm")</f>
        <v>1.1987141066855556E-3</v>
      </c>
      <c r="J187" s="59">
        <f t="shared" ref="J187:N187" si="276">+IFERROR(J185/J$21,"nm")</f>
        <v>3.0802856594684415E-3</v>
      </c>
      <c r="K187" s="59">
        <f t="shared" si="276"/>
        <v>3.2492929701752916E-3</v>
      </c>
      <c r="L187" s="59">
        <f t="shared" si="276"/>
        <v>3.4240929671750537E-3</v>
      </c>
      <c r="M187" s="59">
        <f t="shared" si="276"/>
        <v>3.6041587323013182E-3</v>
      </c>
      <c r="N187" s="59">
        <f t="shared" si="276"/>
        <v>3.7887859097243725E-3</v>
      </c>
    </row>
    <row r="188" spans="1:15" x14ac:dyDescent="0.2">
      <c r="A188" s="58" t="s">
        <v>140</v>
      </c>
      <c r="B188" s="59">
        <f t="shared" ref="B188:H188" si="277">+IFERROR(B185/B195,"nm")</f>
        <v>0.14754098360655737</v>
      </c>
      <c r="C188" s="59">
        <f t="shared" si="277"/>
        <v>0.216</v>
      </c>
      <c r="D188" s="59">
        <f t="shared" si="277"/>
        <v>0.224</v>
      </c>
      <c r="E188" s="59">
        <f t="shared" si="277"/>
        <v>0.28695652173913044</v>
      </c>
      <c r="F188" s="59">
        <f t="shared" si="277"/>
        <v>0.31</v>
      </c>
      <c r="G188" s="59">
        <f t="shared" si="277"/>
        <v>0.3125</v>
      </c>
      <c r="H188" s="59">
        <f t="shared" si="277"/>
        <v>0.41269841269841268</v>
      </c>
      <c r="I188" s="59">
        <f>+IFERROR(I185/I195,"nm")</f>
        <v>0.44897959183673469</v>
      </c>
      <c r="J188" s="59">
        <f>+I188</f>
        <v>0.44897959183673469</v>
      </c>
      <c r="K188" s="59">
        <f t="shared" ref="K188:N188" si="278">+J188</f>
        <v>0.44897959183673469</v>
      </c>
      <c r="L188" s="59">
        <f t="shared" si="278"/>
        <v>0.44897959183673469</v>
      </c>
      <c r="M188" s="59">
        <f t="shared" si="278"/>
        <v>0.44897959183673469</v>
      </c>
      <c r="N188" s="59">
        <f t="shared" si="278"/>
        <v>0.44897959183673469</v>
      </c>
    </row>
    <row r="189" spans="1:15" x14ac:dyDescent="0.2">
      <c r="A189" s="58" t="s">
        <v>134</v>
      </c>
      <c r="B189" s="58">
        <f>Historicals!B144</f>
        <v>517</v>
      </c>
      <c r="C189" s="58">
        <f>Historicals!C144</f>
        <v>487</v>
      </c>
      <c r="D189" s="58">
        <f>Historicals!D144</f>
        <v>477</v>
      </c>
      <c r="E189" s="58">
        <f>Historicals!E144</f>
        <v>310</v>
      </c>
      <c r="F189" s="58">
        <f>Historicals!F144</f>
        <v>303</v>
      </c>
      <c r="G189" s="58">
        <f>Historicals!G144</f>
        <v>297</v>
      </c>
      <c r="H189" s="58">
        <f>Historicals!H144</f>
        <v>543</v>
      </c>
      <c r="I189" s="58">
        <f>Historicals!I144</f>
        <v>669</v>
      </c>
      <c r="J189" s="58">
        <f>+J182-J185</f>
        <v>806.90623469387765</v>
      </c>
      <c r="K189" s="58">
        <f t="shared" ref="K189:N189" si="279">+K182-K185</f>
        <v>887.59685816326544</v>
      </c>
      <c r="L189" s="58">
        <f t="shared" si="279"/>
        <v>976.35654397959195</v>
      </c>
      <c r="M189" s="58">
        <f t="shared" si="279"/>
        <v>1073.9921983775516</v>
      </c>
      <c r="N189" s="58">
        <f t="shared" si="279"/>
        <v>1181.3914182153067</v>
      </c>
    </row>
    <row r="190" spans="1:15" x14ac:dyDescent="0.2">
      <c r="A190" s="58" t="s">
        <v>129</v>
      </c>
      <c r="B190" s="59" t="str">
        <f t="shared" ref="B190:H190" si="280">+IFERROR(B189/A189-1,"nm")</f>
        <v>nm</v>
      </c>
      <c r="C190" s="59">
        <f t="shared" si="280"/>
        <v>-5.8027079303675011E-2</v>
      </c>
      <c r="D190" s="59">
        <f t="shared" si="280"/>
        <v>-2.0533880903490731E-2</v>
      </c>
      <c r="E190" s="59">
        <f t="shared" si="280"/>
        <v>-0.35010482180293501</v>
      </c>
      <c r="F190" s="59">
        <f t="shared" si="280"/>
        <v>-2.2580645161290325E-2</v>
      </c>
      <c r="G190" s="59">
        <f t="shared" si="280"/>
        <v>-1.980198019801982E-2</v>
      </c>
      <c r="H190" s="59">
        <f t="shared" si="280"/>
        <v>0.82828282828282829</v>
      </c>
      <c r="I190" s="59">
        <f>+IFERROR(I189/H189-1,"nm")</f>
        <v>0.2320441988950277</v>
      </c>
      <c r="J190" s="59">
        <f>+IFERROR(J189/I189-1,"nm")</f>
        <v>0.20613786949757507</v>
      </c>
      <c r="K190" s="59">
        <f t="shared" ref="K190:N190" si="281">+IFERROR(K189/J189-1,"nm")</f>
        <v>0.10000000000000009</v>
      </c>
      <c r="L190" s="59">
        <f t="shared" si="281"/>
        <v>9.9999999999999867E-2</v>
      </c>
      <c r="M190" s="59">
        <f t="shared" si="281"/>
        <v>0.10000000000000053</v>
      </c>
      <c r="N190" s="59">
        <f t="shared" si="281"/>
        <v>9.9999999999999867E-2</v>
      </c>
    </row>
    <row r="191" spans="1:15" x14ac:dyDescent="0.2">
      <c r="A191" s="58" t="s">
        <v>131</v>
      </c>
      <c r="B191" s="59">
        <f t="shared" ref="B191:H191" si="282">+IFERROR(B189/B$21,"nm")</f>
        <v>3.7627365356622998E-2</v>
      </c>
      <c r="C191" s="59">
        <f t="shared" si="282"/>
        <v>3.2985640747764833E-2</v>
      </c>
      <c r="D191" s="59">
        <f t="shared" si="282"/>
        <v>3.1348580441640378E-2</v>
      </c>
      <c r="E191" s="59">
        <f t="shared" si="282"/>
        <v>2.0868394479973074E-2</v>
      </c>
      <c r="F191" s="59">
        <f t="shared" si="282"/>
        <v>1.9054207017985159E-2</v>
      </c>
      <c r="G191" s="59">
        <f t="shared" si="282"/>
        <v>2.0505385252692625E-2</v>
      </c>
      <c r="H191" s="59">
        <f t="shared" si="282"/>
        <v>3.1608359043017641E-2</v>
      </c>
      <c r="I191" s="59">
        <f>+IFERROR(I189/I$21,"nm")</f>
        <v>3.6451806244210759E-2</v>
      </c>
      <c r="J191" s="59">
        <f t="shared" ref="J191:N191" si="283">+IFERROR(J189/J$21,"nm")</f>
        <v>4.2199913534717651E-2</v>
      </c>
      <c r="K191" s="59">
        <f t="shared" si="283"/>
        <v>4.4515313691401492E-2</v>
      </c>
      <c r="L191" s="59">
        <f t="shared" si="283"/>
        <v>4.6910073650298229E-2</v>
      </c>
      <c r="M191" s="59">
        <f t="shared" si="283"/>
        <v>4.9376974632528069E-2</v>
      </c>
      <c r="N191" s="59">
        <f t="shared" si="283"/>
        <v>5.1906366963223913E-2</v>
      </c>
    </row>
    <row r="192" spans="1:15" x14ac:dyDescent="0.2">
      <c r="A192" s="58" t="s">
        <v>135</v>
      </c>
      <c r="B192" s="58">
        <f>Historicals!B166</f>
        <v>69</v>
      </c>
      <c r="C192" s="58">
        <f>Historicals!C166</f>
        <v>39</v>
      </c>
      <c r="D192" s="58">
        <f>Historicals!D166</f>
        <v>30</v>
      </c>
      <c r="E192" s="58">
        <f>Historicals!E166</f>
        <v>22</v>
      </c>
      <c r="F192" s="58">
        <f>Historicals!F166</f>
        <v>18</v>
      </c>
      <c r="G192" s="58">
        <f>Historicals!G166</f>
        <v>12</v>
      </c>
      <c r="H192" s="58">
        <f>Historicals!H166</f>
        <v>7</v>
      </c>
      <c r="I192" s="58">
        <f>Historicals!I166</f>
        <v>9</v>
      </c>
      <c r="J192" s="58">
        <f>+J164*J194</f>
        <v>10.065153452685422</v>
      </c>
      <c r="K192" s="58">
        <f>+K164*K194</f>
        <v>11.071668797953965</v>
      </c>
      <c r="L192" s="58">
        <f>+L164*L194</f>
        <v>12.178835677749364</v>
      </c>
      <c r="M192" s="58">
        <f>+M164*M194</f>
        <v>13.396719245524302</v>
      </c>
      <c r="N192" s="58">
        <f>+N164*N194</f>
        <v>14.736391170076731</v>
      </c>
    </row>
    <row r="193" spans="1:15" x14ac:dyDescent="0.2">
      <c r="A193" s="58" t="s">
        <v>129</v>
      </c>
      <c r="B193" s="59" t="str">
        <f t="shared" ref="B193:H193" si="284">+IFERROR(B192/A192-1,"nm")</f>
        <v>nm</v>
      </c>
      <c r="C193" s="59">
        <f t="shared" si="284"/>
        <v>-0.43478260869565222</v>
      </c>
      <c r="D193" s="59">
        <f t="shared" si="284"/>
        <v>-0.23076923076923073</v>
      </c>
      <c r="E193" s="59">
        <f t="shared" si="284"/>
        <v>-0.26666666666666672</v>
      </c>
      <c r="F193" s="59">
        <f t="shared" si="284"/>
        <v>-0.18181818181818177</v>
      </c>
      <c r="G193" s="59">
        <f t="shared" si="284"/>
        <v>-0.33333333333333337</v>
      </c>
      <c r="H193" s="59">
        <f t="shared" si="284"/>
        <v>-0.41666666666666663</v>
      </c>
      <c r="I193" s="59">
        <f>+IFERROR(I192/H192-1,"nm")</f>
        <v>0.28571428571428581</v>
      </c>
      <c r="J193" s="59">
        <f t="shared" ref="J193:N193" si="285">+IFERROR(J192/I192-1,"nm")</f>
        <v>0.11835038363171346</v>
      </c>
      <c r="K193" s="59">
        <f t="shared" si="285"/>
        <v>0.10000000000000009</v>
      </c>
      <c r="L193" s="59">
        <f t="shared" si="285"/>
        <v>0.10000000000000009</v>
      </c>
      <c r="M193" s="59">
        <f t="shared" si="285"/>
        <v>0.10000000000000009</v>
      </c>
      <c r="N193" s="59">
        <f t="shared" si="285"/>
        <v>9.9999999999999867E-2</v>
      </c>
    </row>
    <row r="194" spans="1:15" x14ac:dyDescent="0.2">
      <c r="A194" s="58" t="s">
        <v>133</v>
      </c>
      <c r="B194" s="59">
        <f t="shared" ref="B194:H194" si="286">+IFERROR(B192/B$164,"nm")</f>
        <v>3.481331987891019E-2</v>
      </c>
      <c r="C194" s="59">
        <f t="shared" si="286"/>
        <v>1.9948849104859334E-2</v>
      </c>
      <c r="D194" s="59">
        <f t="shared" si="286"/>
        <v>1.4691478942213516E-2</v>
      </c>
      <c r="E194" s="59">
        <f t="shared" si="286"/>
        <v>1.166489925768823E-2</v>
      </c>
      <c r="F194" s="59">
        <f t="shared" si="286"/>
        <v>9.4438614900314802E-3</v>
      </c>
      <c r="G194" s="59">
        <f t="shared" si="286"/>
        <v>6.5005417118093175E-3</v>
      </c>
      <c r="H194" s="59">
        <f t="shared" si="286"/>
        <v>3.1746031746031746E-3</v>
      </c>
      <c r="I194" s="59">
        <f>+IFERROR(I192/I$164,"nm")</f>
        <v>3.8363171355498722E-3</v>
      </c>
      <c r="J194" s="59">
        <f>+I194</f>
        <v>3.8363171355498722E-3</v>
      </c>
      <c r="K194" s="59">
        <f t="shared" ref="K194:N194" si="287">+J194</f>
        <v>3.8363171355498722E-3</v>
      </c>
      <c r="L194" s="59">
        <f t="shared" si="287"/>
        <v>3.8363171355498722E-3</v>
      </c>
      <c r="M194" s="59">
        <f t="shared" si="287"/>
        <v>3.8363171355498722E-3</v>
      </c>
      <c r="N194" s="59">
        <f t="shared" si="287"/>
        <v>3.8363171355498722E-3</v>
      </c>
    </row>
    <row r="195" spans="1:15" x14ac:dyDescent="0.2">
      <c r="A195" s="58" t="s">
        <v>141</v>
      </c>
      <c r="B195" s="58">
        <f>Historicals!B155</f>
        <v>122</v>
      </c>
      <c r="C195" s="58">
        <f>Historicals!C155</f>
        <v>125</v>
      </c>
      <c r="D195" s="58">
        <f>Historicals!D155</f>
        <v>125</v>
      </c>
      <c r="E195" s="58">
        <f>Historicals!E155</f>
        <v>115</v>
      </c>
      <c r="F195" s="58">
        <f>Historicals!F155</f>
        <v>100</v>
      </c>
      <c r="G195" s="58">
        <f>Historicals!G155</f>
        <v>80</v>
      </c>
      <c r="H195" s="58">
        <f>Historicals!H155</f>
        <v>63</v>
      </c>
      <c r="I195" s="58">
        <f>Historicals!I155</f>
        <v>49</v>
      </c>
      <c r="J195" s="58">
        <f>+J164*J197</f>
        <v>131.1825</v>
      </c>
      <c r="K195" s="58">
        <f>+K164*K197</f>
        <v>144.30075000000002</v>
      </c>
      <c r="L195" s="58">
        <f>+L164*L197</f>
        <v>158.73082500000004</v>
      </c>
      <c r="M195" s="58">
        <f>+M164*M197</f>
        <v>174.60390750000008</v>
      </c>
      <c r="N195" s="58">
        <f>+N164*N197</f>
        <v>192.06429825000006</v>
      </c>
    </row>
    <row r="196" spans="1:15" x14ac:dyDescent="0.2">
      <c r="A196" s="58" t="s">
        <v>129</v>
      </c>
      <c r="B196" s="59" t="str">
        <f t="shared" ref="B196:H196" si="288">+IFERROR(B195/A195-1,"nm")</f>
        <v>nm</v>
      </c>
      <c r="C196" s="59">
        <f t="shared" si="288"/>
        <v>2.4590163934426146E-2</v>
      </c>
      <c r="D196" s="59">
        <f t="shared" si="288"/>
        <v>0</v>
      </c>
      <c r="E196" s="59">
        <f t="shared" si="288"/>
        <v>-7.999999999999996E-2</v>
      </c>
      <c r="F196" s="59">
        <f t="shared" si="288"/>
        <v>-0.13043478260869568</v>
      </c>
      <c r="G196" s="59">
        <f t="shared" si="288"/>
        <v>-0.19999999999999996</v>
      </c>
      <c r="H196" s="59">
        <f t="shared" si="288"/>
        <v>-0.21250000000000002</v>
      </c>
      <c r="I196" s="59">
        <f>+IFERROR(I195/H195-1,"nm")</f>
        <v>-0.22222222222222221</v>
      </c>
      <c r="J196" s="59">
        <f>+J197+J198</f>
        <v>0.05</v>
      </c>
      <c r="K196" s="59">
        <f t="shared" ref="K196:N196" si="289">+K197+K198</f>
        <v>0.05</v>
      </c>
      <c r="L196" s="59">
        <f t="shared" si="289"/>
        <v>0.05</v>
      </c>
      <c r="M196" s="59">
        <f t="shared" si="289"/>
        <v>0.05</v>
      </c>
      <c r="N196" s="59">
        <f t="shared" si="289"/>
        <v>0.05</v>
      </c>
    </row>
    <row r="197" spans="1:15" x14ac:dyDescent="0.2">
      <c r="A197" s="58" t="s">
        <v>133</v>
      </c>
      <c r="B197" s="59">
        <f t="shared" ref="B197:H197" si="290">+IFERROR(B195/B$164,"nm")</f>
        <v>6.1553985872855703E-2</v>
      </c>
      <c r="C197" s="59">
        <f t="shared" si="290"/>
        <v>6.3938618925831206E-2</v>
      </c>
      <c r="D197" s="59">
        <f t="shared" si="290"/>
        <v>6.1214495592556317E-2</v>
      </c>
      <c r="E197" s="59">
        <f t="shared" si="290"/>
        <v>6.097560975609756E-2</v>
      </c>
      <c r="F197" s="59">
        <f t="shared" si="290"/>
        <v>5.2465897166841552E-2</v>
      </c>
      <c r="G197" s="59">
        <f t="shared" si="290"/>
        <v>4.3336944745395449E-2</v>
      </c>
      <c r="H197" s="59">
        <f t="shared" si="290"/>
        <v>2.8571428571428571E-2</v>
      </c>
      <c r="I197" s="59">
        <f>+IFERROR(I195/I$164,"nm")</f>
        <v>2.0886615515771527E-2</v>
      </c>
      <c r="J197" s="59">
        <v>0.05</v>
      </c>
      <c r="K197" s="59">
        <f t="shared" ref="K197:N197" si="291">+J197</f>
        <v>0.05</v>
      </c>
      <c r="L197" s="59">
        <f t="shared" si="291"/>
        <v>0.05</v>
      </c>
      <c r="M197" s="59">
        <f t="shared" si="291"/>
        <v>0.05</v>
      </c>
      <c r="N197" s="59">
        <f t="shared" si="291"/>
        <v>0.05</v>
      </c>
    </row>
    <row r="198" spans="1:15" x14ac:dyDescent="0.2">
      <c r="A198" s="62" t="s">
        <v>108</v>
      </c>
      <c r="B198" s="62"/>
      <c r="C198" s="62"/>
      <c r="D198" s="62"/>
      <c r="E198" s="62"/>
      <c r="F198" s="62"/>
      <c r="G198" s="62"/>
      <c r="H198" s="62"/>
      <c r="I198" s="62"/>
      <c r="J198" s="63"/>
      <c r="K198" s="63"/>
      <c r="L198" s="63"/>
      <c r="M198" s="63"/>
      <c r="N198" s="63"/>
    </row>
    <row r="199" spans="1:15" x14ac:dyDescent="0.2">
      <c r="A199" s="58" t="s">
        <v>136</v>
      </c>
      <c r="B199">
        <f>Historicals!B134</f>
        <v>11697</v>
      </c>
      <c r="C199">
        <f>Historicals!C134</f>
        <v>11799</v>
      </c>
      <c r="D199">
        <f>Historicals!D134</f>
        <v>75</v>
      </c>
      <c r="E199">
        <f>Historicals!E134</f>
        <v>26</v>
      </c>
      <c r="F199">
        <f>Historicals!F134</f>
        <v>-7</v>
      </c>
      <c r="G199">
        <f>Historicals!G134</f>
        <v>-11</v>
      </c>
      <c r="H199">
        <f>Historicals!H134</f>
        <v>40</v>
      </c>
      <c r="I199">
        <f>Historicals!I134</f>
        <v>-72</v>
      </c>
      <c r="J199" s="58">
        <f>I199*(1+J123)</f>
        <v>-72</v>
      </c>
      <c r="K199" s="58">
        <f>J199*(1+K123)</f>
        <v>-72</v>
      </c>
      <c r="L199" s="58">
        <f>K199*(1+L123)</f>
        <v>-72</v>
      </c>
      <c r="M199" s="58">
        <f>L199*(1+M123)</f>
        <v>-72</v>
      </c>
      <c r="N199" s="58">
        <f>M199*(1+N123)</f>
        <v>-72</v>
      </c>
    </row>
    <row r="200" spans="1:15" x14ac:dyDescent="0.2">
      <c r="A200" s="58" t="s">
        <v>129</v>
      </c>
      <c r="B200" s="59" t="str">
        <f t="shared" ref="B200:H200" si="292">+IFERROR(B199/A199-1,"nm")</f>
        <v>nm</v>
      </c>
      <c r="C200" s="59">
        <f t="shared" si="292"/>
        <v>8.720184662734054E-3</v>
      </c>
      <c r="D200" s="59">
        <f t="shared" si="292"/>
        <v>-0.99364352911263665</v>
      </c>
      <c r="E200" s="59">
        <f t="shared" si="292"/>
        <v>-0.65333333333333332</v>
      </c>
      <c r="F200" s="59">
        <f t="shared" si="292"/>
        <v>-1.2692307692307692</v>
      </c>
      <c r="G200" s="59">
        <f t="shared" si="292"/>
        <v>0.5714285714285714</v>
      </c>
      <c r="H200" s="59">
        <f t="shared" si="292"/>
        <v>-4.6363636363636367</v>
      </c>
      <c r="I200" s="59">
        <f>+IFERROR(I199/H199-1,"nm")</f>
        <v>-2.8</v>
      </c>
      <c r="J200" s="59">
        <f>+IFERROR(J199/I199-1,"nm")</f>
        <v>0</v>
      </c>
      <c r="K200" s="59">
        <f t="shared" ref="K200:N200" si="293">+IFERROR(K199/J199-1,"nm")</f>
        <v>0</v>
      </c>
      <c r="L200" s="59">
        <f t="shared" si="293"/>
        <v>0</v>
      </c>
      <c r="M200" s="59">
        <f t="shared" si="293"/>
        <v>0</v>
      </c>
      <c r="N200" s="59">
        <f t="shared" si="293"/>
        <v>0</v>
      </c>
    </row>
    <row r="201" spans="1:15" x14ac:dyDescent="0.2">
      <c r="A201" s="58" t="s">
        <v>130</v>
      </c>
      <c r="B201" s="58">
        <f>B208+B204</f>
        <v>1556</v>
      </c>
      <c r="C201" s="58">
        <f t="shared" ref="C201:H201" si="294">C208+C204</f>
        <v>1700</v>
      </c>
      <c r="D201" s="58">
        <f t="shared" si="294"/>
        <v>-633</v>
      </c>
      <c r="E201" s="58">
        <f t="shared" si="294"/>
        <v>-1346</v>
      </c>
      <c r="F201" s="58">
        <f t="shared" si="294"/>
        <v>-1694</v>
      </c>
      <c r="G201" s="58">
        <f t="shared" si="294"/>
        <v>-1855</v>
      </c>
      <c r="H201" s="58">
        <f t="shared" si="294"/>
        <v>-2120</v>
      </c>
      <c r="I201" s="58">
        <f>I208+I204</f>
        <v>-2085</v>
      </c>
      <c r="J201" s="58">
        <f>+J199*J203</f>
        <v>-2085</v>
      </c>
      <c r="K201" s="58">
        <f>+K199*K203</f>
        <v>-2085</v>
      </c>
      <c r="L201" s="58">
        <f>+L199*L203</f>
        <v>-2085</v>
      </c>
      <c r="M201" s="58">
        <f>+M199*M203</f>
        <v>-2085</v>
      </c>
      <c r="N201" s="58">
        <f>+N199*N203</f>
        <v>-2085</v>
      </c>
      <c r="O201" s="67" t="s">
        <v>221</v>
      </c>
    </row>
    <row r="202" spans="1:15" x14ac:dyDescent="0.2">
      <c r="A202" s="58" t="s">
        <v>129</v>
      </c>
      <c r="B202" s="59" t="str">
        <f t="shared" ref="B202:H202" si="295">+IFERROR(B201/A201-1,"nm")</f>
        <v>nm</v>
      </c>
      <c r="C202" s="59">
        <f t="shared" si="295"/>
        <v>9.2544987146529589E-2</v>
      </c>
      <c r="D202" s="59">
        <f t="shared" si="295"/>
        <v>-1.3723529411764706</v>
      </c>
      <c r="E202" s="59">
        <f t="shared" si="295"/>
        <v>1.126382306477093</v>
      </c>
      <c r="F202" s="59">
        <f t="shared" si="295"/>
        <v>0.25854383358098065</v>
      </c>
      <c r="G202" s="59">
        <f t="shared" si="295"/>
        <v>9.5041322314049603E-2</v>
      </c>
      <c r="H202" s="59">
        <f t="shared" si="295"/>
        <v>0.14285714285714279</v>
      </c>
      <c r="I202" s="59">
        <f>+IFERROR(I201/H201-1,"nm")</f>
        <v>-1.650943396226412E-2</v>
      </c>
      <c r="J202" s="59">
        <f t="shared" ref="J202:N202" si="296">+IFERROR(J201/I201-1,"nm")</f>
        <v>0</v>
      </c>
      <c r="K202" s="59">
        <f t="shared" si="296"/>
        <v>0</v>
      </c>
      <c r="L202" s="59">
        <f t="shared" si="296"/>
        <v>0</v>
      </c>
      <c r="M202" s="59">
        <f t="shared" si="296"/>
        <v>0</v>
      </c>
      <c r="N202" s="59">
        <f t="shared" si="296"/>
        <v>0</v>
      </c>
    </row>
    <row r="203" spans="1:15" x14ac:dyDescent="0.2">
      <c r="A203" s="58" t="s">
        <v>131</v>
      </c>
      <c r="B203" s="59">
        <f t="shared" ref="B203:G203" si="297">+IFERROR(B201/B$199,"nm")</f>
        <v>0.13302556210994271</v>
      </c>
      <c r="C203" s="59">
        <f t="shared" si="297"/>
        <v>0.14408000678023561</v>
      </c>
      <c r="D203" s="59">
        <f t="shared" si="297"/>
        <v>-8.44</v>
      </c>
      <c r="E203" s="59">
        <f t="shared" si="297"/>
        <v>-51.769230769230766</v>
      </c>
      <c r="F203" s="59">
        <f t="shared" si="297"/>
        <v>242</v>
      </c>
      <c r="G203" s="59">
        <f t="shared" si="297"/>
        <v>168.63636363636363</v>
      </c>
      <c r="H203" s="59">
        <f>+IFERROR(H201/H$199,"nm")</f>
        <v>-53</v>
      </c>
      <c r="I203" s="59">
        <f>+IFERROR(I201/I$199,"nm")</f>
        <v>28.958333333333332</v>
      </c>
      <c r="J203" s="59">
        <f>+I203</f>
        <v>28.958333333333332</v>
      </c>
      <c r="K203" s="59">
        <f t="shared" ref="K203:N203" si="298">+J203</f>
        <v>28.958333333333332</v>
      </c>
      <c r="L203" s="59">
        <f t="shared" si="298"/>
        <v>28.958333333333332</v>
      </c>
      <c r="M203" s="59">
        <f t="shared" si="298"/>
        <v>28.958333333333332</v>
      </c>
      <c r="N203" s="59">
        <f t="shared" si="298"/>
        <v>28.958333333333332</v>
      </c>
    </row>
    <row r="204" spans="1:15" x14ac:dyDescent="0.2">
      <c r="A204" s="58" t="s">
        <v>132</v>
      </c>
      <c r="B204" s="58">
        <f>Historicals!B178</f>
        <v>211</v>
      </c>
      <c r="C204" s="58">
        <f>Historicals!C178</f>
        <v>84</v>
      </c>
      <c r="D204" s="58">
        <f>Historicals!D178</f>
        <v>91</v>
      </c>
      <c r="E204" s="58">
        <f>Historicals!E178</f>
        <v>110</v>
      </c>
      <c r="F204" s="58">
        <f>Historicals!F178</f>
        <v>116</v>
      </c>
      <c r="G204" s="58">
        <f>Historicals!G178</f>
        <v>112</v>
      </c>
      <c r="H204" s="58">
        <f>Historicals!H178</f>
        <v>141</v>
      </c>
      <c r="I204" s="58">
        <f>Historicals!I178</f>
        <v>134</v>
      </c>
      <c r="J204" s="58">
        <f>+J207*J214</f>
        <v>134</v>
      </c>
      <c r="K204" s="58">
        <f t="shared" ref="K204:N204" si="299">+K207*K214</f>
        <v>134</v>
      </c>
      <c r="L204" s="58">
        <f t="shared" si="299"/>
        <v>134</v>
      </c>
      <c r="M204" s="58">
        <f t="shared" si="299"/>
        <v>134</v>
      </c>
      <c r="N204" s="58">
        <f t="shared" si="299"/>
        <v>134</v>
      </c>
      <c r="O204" t="s">
        <v>220</v>
      </c>
    </row>
    <row r="205" spans="1:15" x14ac:dyDescent="0.2">
      <c r="A205" s="58" t="s">
        <v>129</v>
      </c>
      <c r="B205" s="59" t="str">
        <f t="shared" ref="B205:H205" si="300">+IFERROR(B204/A204-1,"nm")</f>
        <v>nm</v>
      </c>
      <c r="C205" s="59">
        <f t="shared" si="300"/>
        <v>-0.6018957345971564</v>
      </c>
      <c r="D205" s="59">
        <f t="shared" si="300"/>
        <v>8.3333333333333259E-2</v>
      </c>
      <c r="E205" s="59">
        <f t="shared" si="300"/>
        <v>0.20879120879120872</v>
      </c>
      <c r="F205" s="59">
        <f t="shared" si="300"/>
        <v>5.4545454545454453E-2</v>
      </c>
      <c r="G205" s="59">
        <f t="shared" si="300"/>
        <v>-3.4482758620689613E-2</v>
      </c>
      <c r="H205" s="59">
        <f t="shared" si="300"/>
        <v>0.2589285714285714</v>
      </c>
      <c r="I205" s="59">
        <f>+IFERROR(I204/H204-1,"nm")</f>
        <v>-4.9645390070921946E-2</v>
      </c>
      <c r="J205" s="59">
        <f t="shared" ref="J205:N205" si="301">+IFERROR(J204/I204-1,"nm")</f>
        <v>0</v>
      </c>
      <c r="K205" s="59">
        <f t="shared" si="301"/>
        <v>0</v>
      </c>
      <c r="L205" s="59">
        <f t="shared" si="301"/>
        <v>0</v>
      </c>
      <c r="M205" s="59">
        <f t="shared" si="301"/>
        <v>0</v>
      </c>
      <c r="N205" s="59">
        <f t="shared" si="301"/>
        <v>0</v>
      </c>
    </row>
    <row r="206" spans="1:15" x14ac:dyDescent="0.2">
      <c r="A206" s="58" t="s">
        <v>133</v>
      </c>
      <c r="B206" s="59">
        <f t="shared" ref="B206:H206" si="302">+IFERROR(B204/B$21,"nm")</f>
        <v>1.5356622998544395E-2</v>
      </c>
      <c r="C206" s="59">
        <f t="shared" si="302"/>
        <v>5.6895150365754536E-3</v>
      </c>
      <c r="D206" s="59">
        <f t="shared" si="302"/>
        <v>5.9805467928496321E-3</v>
      </c>
      <c r="E206" s="59">
        <f t="shared" si="302"/>
        <v>7.4049141703130261E-3</v>
      </c>
      <c r="F206" s="59">
        <f t="shared" si="302"/>
        <v>7.2946799144761668E-3</v>
      </c>
      <c r="G206" s="59">
        <f t="shared" si="302"/>
        <v>7.732670533001933E-3</v>
      </c>
      <c r="H206" s="59">
        <f t="shared" si="302"/>
        <v>8.2076954421095531E-3</v>
      </c>
      <c r="I206" s="59">
        <f>+IFERROR(I204/I$52,"nm")</f>
        <v>1.0738039907043834E-2</v>
      </c>
      <c r="J206" s="59">
        <f t="shared" ref="J206:N206" si="303">+IFERROR(J204/J$21,"nm")</f>
        <v>7.007987013258693E-3</v>
      </c>
      <c r="K206" s="59">
        <f t="shared" si="303"/>
        <v>6.7204519481867996E-3</v>
      </c>
      <c r="L206" s="59">
        <f t="shared" si="303"/>
        <v>6.4381704694871722E-3</v>
      </c>
      <c r="M206" s="59">
        <f t="shared" si="303"/>
        <v>6.1606728715107376E-3</v>
      </c>
      <c r="N206" s="59">
        <f t="shared" si="303"/>
        <v>5.8875094789323963E-3</v>
      </c>
    </row>
    <row r="207" spans="1:15" x14ac:dyDescent="0.2">
      <c r="A207" s="58" t="s">
        <v>140</v>
      </c>
      <c r="B207" s="59">
        <f t="shared" ref="B207:H207" si="304">+IFERROR(B204/B214,"nm")</f>
        <v>0.13890717577353523</v>
      </c>
      <c r="C207" s="59">
        <f t="shared" si="304"/>
        <v>4.40251572327044E-2</v>
      </c>
      <c r="D207" s="59">
        <f t="shared" si="304"/>
        <v>7.3505654281098551E-2</v>
      </c>
      <c r="E207" s="59">
        <f t="shared" si="304"/>
        <v>7.586206896551724E-2</v>
      </c>
      <c r="F207" s="59">
        <f t="shared" si="304"/>
        <v>6.9336521219366412E-2</v>
      </c>
      <c r="G207" s="59">
        <f t="shared" si="304"/>
        <v>5.845511482254697E-2</v>
      </c>
      <c r="H207" s="59">
        <f t="shared" si="304"/>
        <v>7.5401069518716571E-2</v>
      </c>
      <c r="I207" s="59">
        <f>+IFERROR(I204/I214,"nm")</f>
        <v>7.374793615850303E-2</v>
      </c>
      <c r="J207" s="59">
        <f>+I207</f>
        <v>7.374793615850303E-2</v>
      </c>
      <c r="K207" s="59">
        <f t="shared" ref="K207:N207" si="305">+J207</f>
        <v>7.374793615850303E-2</v>
      </c>
      <c r="L207" s="59">
        <f t="shared" si="305"/>
        <v>7.374793615850303E-2</v>
      </c>
      <c r="M207" s="59">
        <f t="shared" si="305"/>
        <v>7.374793615850303E-2</v>
      </c>
      <c r="N207" s="59">
        <f t="shared" si="305"/>
        <v>7.374793615850303E-2</v>
      </c>
    </row>
    <row r="208" spans="1:15" x14ac:dyDescent="0.2">
      <c r="A208" s="58" t="s">
        <v>134</v>
      </c>
      <c r="B208" s="58">
        <f>Historicals!B145</f>
        <v>1345</v>
      </c>
      <c r="C208" s="58">
        <f>Historicals!C145</f>
        <v>1616</v>
      </c>
      <c r="D208" s="58">
        <f>Historicals!D145</f>
        <v>-724</v>
      </c>
      <c r="E208" s="58">
        <f>Historicals!E145</f>
        <v>-1456</v>
      </c>
      <c r="F208" s="58">
        <f>Historicals!F145</f>
        <v>-1810</v>
      </c>
      <c r="G208" s="58">
        <f>Historicals!G145</f>
        <v>-1967</v>
      </c>
      <c r="H208" s="58">
        <f>Historicals!H145</f>
        <v>-2261</v>
      </c>
      <c r="I208" s="58">
        <f>Historicals!I145</f>
        <v>-2219</v>
      </c>
      <c r="J208" s="58">
        <f>+J201+J204</f>
        <v>-1951</v>
      </c>
      <c r="K208" s="58">
        <f t="shared" ref="K208:N208" si="306">+K201+K204</f>
        <v>-1951</v>
      </c>
      <c r="L208" s="58">
        <f t="shared" si="306"/>
        <v>-1951</v>
      </c>
      <c r="M208" s="58">
        <f t="shared" si="306"/>
        <v>-1951</v>
      </c>
      <c r="N208" s="58">
        <f t="shared" si="306"/>
        <v>-1951</v>
      </c>
    </row>
    <row r="209" spans="1:14" x14ac:dyDescent="0.2">
      <c r="A209" s="58" t="s">
        <v>129</v>
      </c>
      <c r="B209" s="59" t="str">
        <f t="shared" ref="B209:H209" si="307">+IFERROR(B208/A208-1,"nm")</f>
        <v>nm</v>
      </c>
      <c r="C209" s="59">
        <f t="shared" si="307"/>
        <v>0.20148698884758365</v>
      </c>
      <c r="D209" s="59">
        <f t="shared" si="307"/>
        <v>-1.448019801980198</v>
      </c>
      <c r="E209" s="59">
        <f t="shared" si="307"/>
        <v>1.0110497237569063</v>
      </c>
      <c r="F209" s="59">
        <f t="shared" si="307"/>
        <v>0.24313186813186816</v>
      </c>
      <c r="G209" s="59">
        <f t="shared" si="307"/>
        <v>8.6740331491712785E-2</v>
      </c>
      <c r="H209" s="59">
        <f t="shared" si="307"/>
        <v>0.14946619217081847</v>
      </c>
      <c r="I209" s="59">
        <f>+IFERROR(I208/H208-1,"nm")</f>
        <v>-1.8575851393188847E-2</v>
      </c>
      <c r="J209" s="59">
        <f>+IFERROR(J208/I208-1,"nm")</f>
        <v>-0.12077512392969803</v>
      </c>
      <c r="K209" s="59">
        <f t="shared" ref="K209:N209" si="308">+IFERROR(K208/J208-1,"nm")</f>
        <v>0</v>
      </c>
      <c r="L209" s="59">
        <f t="shared" si="308"/>
        <v>0</v>
      </c>
      <c r="M209" s="59">
        <f t="shared" si="308"/>
        <v>0</v>
      </c>
      <c r="N209" s="59">
        <f t="shared" si="308"/>
        <v>0</v>
      </c>
    </row>
    <row r="210" spans="1:14" x14ac:dyDescent="0.2">
      <c r="A210" s="58" t="s">
        <v>131</v>
      </c>
      <c r="B210" s="59">
        <f t="shared" ref="B210:N210" si="309">+IFERROR(B208/B$21,"nm")</f>
        <v>9.788937409024745E-2</v>
      </c>
      <c r="C210" s="59">
        <f t="shared" si="309"/>
        <v>0.1094554321322135</v>
      </c>
      <c r="D210" s="59">
        <f t="shared" si="309"/>
        <v>-4.7581493165089382E-2</v>
      </c>
      <c r="E210" s="59">
        <f t="shared" si="309"/>
        <v>-9.8014136654325137E-2</v>
      </c>
      <c r="F210" s="59">
        <f t="shared" si="309"/>
        <v>-0.1138221607344988</v>
      </c>
      <c r="G210" s="59">
        <f t="shared" si="309"/>
        <v>-0.13580502623584645</v>
      </c>
      <c r="H210" s="59">
        <f t="shared" si="309"/>
        <v>-0.13161418010361489</v>
      </c>
      <c r="I210" s="59">
        <f t="shared" si="309"/>
        <v>-0.12090666376069308</v>
      </c>
      <c r="J210" s="59">
        <f t="shared" si="309"/>
        <v>-0.1020341989766247</v>
      </c>
      <c r="K210" s="59">
        <f t="shared" si="309"/>
        <v>-9.7847774260540643E-2</v>
      </c>
      <c r="L210" s="59">
        <f t="shared" si="309"/>
        <v>-9.3737840193802047E-2</v>
      </c>
      <c r="M210" s="59">
        <f t="shared" si="309"/>
        <v>-8.9697558002369018E-2</v>
      </c>
      <c r="N210" s="59">
        <f t="shared" si="309"/>
        <v>-8.5720380547739589E-2</v>
      </c>
    </row>
    <row r="211" spans="1:14" x14ac:dyDescent="0.2">
      <c r="A211" s="58" t="s">
        <v>135</v>
      </c>
      <c r="B211" s="58">
        <f>Historicals!B167</f>
        <v>306</v>
      </c>
      <c r="C211" s="58">
        <f>Historicals!C167</f>
        <v>264</v>
      </c>
      <c r="D211" s="58">
        <f>Historicals!D167</f>
        <v>291</v>
      </c>
      <c r="E211" s="58">
        <f>Historicals!E167</f>
        <v>159</v>
      </c>
      <c r="F211" s="58">
        <f>Historicals!F167</f>
        <v>377</v>
      </c>
      <c r="G211" s="58">
        <f>Historicals!G167</f>
        <v>318</v>
      </c>
      <c r="H211" s="58">
        <f>Historicals!H167</f>
        <v>11</v>
      </c>
      <c r="I211" s="58">
        <f>Historicals!I167</f>
        <v>50</v>
      </c>
      <c r="J211" s="58">
        <f>+J199*J213</f>
        <v>50</v>
      </c>
      <c r="K211" s="58">
        <f>+K199*K213</f>
        <v>50</v>
      </c>
      <c r="L211" s="58">
        <f>+L199*L213</f>
        <v>50</v>
      </c>
      <c r="M211" s="58">
        <f>+M199*M213</f>
        <v>50</v>
      </c>
      <c r="N211" s="58">
        <f>+N199*N213</f>
        <v>50</v>
      </c>
    </row>
    <row r="212" spans="1:14" x14ac:dyDescent="0.2">
      <c r="A212" s="58" t="s">
        <v>129</v>
      </c>
      <c r="B212" s="59" t="str">
        <f t="shared" ref="B212:H212" si="310">+IFERROR(B211/A211-1,"nm")</f>
        <v>nm</v>
      </c>
      <c r="C212" s="59">
        <f t="shared" si="310"/>
        <v>-0.13725490196078427</v>
      </c>
      <c r="D212" s="59">
        <f t="shared" si="310"/>
        <v>0.10227272727272729</v>
      </c>
      <c r="E212" s="59">
        <f t="shared" si="310"/>
        <v>-0.45360824742268047</v>
      </c>
      <c r="F212" s="59">
        <f t="shared" si="310"/>
        <v>1.3710691823899372</v>
      </c>
      <c r="G212" s="59">
        <f t="shared" si="310"/>
        <v>-0.156498673740053</v>
      </c>
      <c r="H212" s="59">
        <f t="shared" si="310"/>
        <v>-0.96540880503144655</v>
      </c>
      <c r="I212" s="59">
        <f>+IFERROR(I211/H211-1,"nm")</f>
        <v>3.5454545454545459</v>
      </c>
      <c r="J212" s="59">
        <v>0</v>
      </c>
      <c r="K212" s="59">
        <f t="shared" ref="K212:N212" si="311">+IFERROR(K211/J211-1,"nm")</f>
        <v>0</v>
      </c>
      <c r="L212" s="59">
        <f t="shared" si="311"/>
        <v>0</v>
      </c>
      <c r="M212" s="59">
        <f t="shared" si="311"/>
        <v>0</v>
      </c>
      <c r="N212" s="59">
        <f t="shared" si="311"/>
        <v>0</v>
      </c>
    </row>
    <row r="213" spans="1:14" x14ac:dyDescent="0.2">
      <c r="A213" s="58" t="s">
        <v>133</v>
      </c>
      <c r="B213" s="59">
        <f t="shared" ref="B213:H213" si="312">+IFERROR(B211/B$21,"nm")</f>
        <v>2.2270742358078601E-2</v>
      </c>
      <c r="C213" s="59">
        <f t="shared" si="312"/>
        <v>1.7881332972094283E-2</v>
      </c>
      <c r="D213" s="59">
        <f t="shared" si="312"/>
        <v>1.9124605678233438E-2</v>
      </c>
      <c r="E213" s="59">
        <f t="shared" si="312"/>
        <v>1.0703466846179737E-2</v>
      </c>
      <c r="F213" s="59">
        <f t="shared" si="312"/>
        <v>2.370770972204754E-2</v>
      </c>
      <c r="G213" s="59">
        <f t="shared" si="312"/>
        <v>2.1955260977630488E-2</v>
      </c>
      <c r="H213" s="59">
        <f t="shared" si="312"/>
        <v>6.4031666569648994E-4</v>
      </c>
      <c r="I213" s="59">
        <f>+IFERROR(I211/I$199,"nm")</f>
        <v>-0.69444444444444442</v>
      </c>
      <c r="J213" s="59">
        <f>+I213</f>
        <v>-0.69444444444444442</v>
      </c>
      <c r="K213" s="59">
        <f t="shared" ref="K213:N213" si="313">+J213</f>
        <v>-0.69444444444444442</v>
      </c>
      <c r="L213" s="59">
        <f t="shared" si="313"/>
        <v>-0.69444444444444442</v>
      </c>
      <c r="M213" s="59">
        <f t="shared" si="313"/>
        <v>-0.69444444444444442</v>
      </c>
      <c r="N213" s="59">
        <f t="shared" si="313"/>
        <v>-0.69444444444444442</v>
      </c>
    </row>
    <row r="214" spans="1:14" x14ac:dyDescent="0.2">
      <c r="A214" s="58" t="s">
        <v>141</v>
      </c>
      <c r="B214" s="58">
        <f>Historicals!B156</f>
        <v>1519</v>
      </c>
      <c r="C214" s="58">
        <f>Historicals!C156</f>
        <v>1908</v>
      </c>
      <c r="D214" s="58">
        <f>Historicals!D156</f>
        <v>1238</v>
      </c>
      <c r="E214" s="58">
        <f>Historicals!E156</f>
        <v>1450</v>
      </c>
      <c r="F214" s="58">
        <f>Historicals!F156</f>
        <v>1673</v>
      </c>
      <c r="G214" s="58">
        <f>Historicals!G156</f>
        <v>1916</v>
      </c>
      <c r="H214" s="58">
        <f>Historicals!H156</f>
        <v>1870</v>
      </c>
      <c r="I214" s="58">
        <f>Historicals!I156</f>
        <v>1817</v>
      </c>
      <c r="J214" s="58">
        <f>+J199*J216</f>
        <v>1817</v>
      </c>
      <c r="K214" s="58">
        <f>+K199*K216</f>
        <v>1817</v>
      </c>
      <c r="L214" s="58">
        <f>+L199*L216</f>
        <v>1817</v>
      </c>
      <c r="M214" s="58">
        <f>+M199*M216</f>
        <v>1817</v>
      </c>
      <c r="N214" s="58">
        <f>+N199*N216</f>
        <v>1817</v>
      </c>
    </row>
    <row r="215" spans="1:14" x14ac:dyDescent="0.2">
      <c r="A215" s="58" t="s">
        <v>129</v>
      </c>
      <c r="B215" s="59" t="str">
        <f t="shared" ref="B215:H215" si="314">+IFERROR(B214/A214-1,"nm")</f>
        <v>nm</v>
      </c>
      <c r="C215" s="59">
        <f t="shared" si="314"/>
        <v>0.25608953258722833</v>
      </c>
      <c r="D215" s="59">
        <f t="shared" si="314"/>
        <v>-0.35115303983228507</v>
      </c>
      <c r="E215" s="59">
        <f t="shared" si="314"/>
        <v>0.17124394184168024</v>
      </c>
      <c r="F215" s="59">
        <f t="shared" si="314"/>
        <v>0.15379310344827579</v>
      </c>
      <c r="G215" s="59">
        <f t="shared" si="314"/>
        <v>0.14524805738194857</v>
      </c>
      <c r="H215" s="59">
        <f t="shared" si="314"/>
        <v>-2.4008350730688965E-2</v>
      </c>
      <c r="I215" s="59">
        <f>+IFERROR(I214/H214-1,"nm")</f>
        <v>-2.8342245989304793E-2</v>
      </c>
      <c r="J215" s="59">
        <f>+J216+J217</f>
        <v>-25.236111111111111</v>
      </c>
      <c r="K215" s="59">
        <f t="shared" ref="K215:N215" si="315">+K216+K217</f>
        <v>-25.236111111111111</v>
      </c>
      <c r="L215" s="59">
        <f t="shared" si="315"/>
        <v>-25.236111111111111</v>
      </c>
      <c r="M215" s="59">
        <f t="shared" si="315"/>
        <v>-25.236111111111111</v>
      </c>
      <c r="N215" s="59">
        <f t="shared" si="315"/>
        <v>-25.236111111111111</v>
      </c>
    </row>
    <row r="216" spans="1:14" x14ac:dyDescent="0.2">
      <c r="A216" s="58" t="s">
        <v>133</v>
      </c>
      <c r="B216" s="59">
        <f t="shared" ref="B216:H216" si="316">+IFERROR(B214/B$199,"nm")</f>
        <v>0.1298623578695392</v>
      </c>
      <c r="C216" s="59">
        <f t="shared" si="316"/>
        <v>0.16170861937452327</v>
      </c>
      <c r="D216" s="59">
        <f t="shared" si="316"/>
        <v>16.506666666666668</v>
      </c>
      <c r="E216" s="59">
        <f t="shared" si="316"/>
        <v>55.769230769230766</v>
      </c>
      <c r="F216" s="59">
        <f t="shared" si="316"/>
        <v>-239</v>
      </c>
      <c r="G216" s="59">
        <f t="shared" si="316"/>
        <v>-174.18181818181819</v>
      </c>
      <c r="H216" s="59">
        <f t="shared" si="316"/>
        <v>46.75</v>
      </c>
      <c r="I216" s="59">
        <f>+IFERROR(I214/I$199,"nm")</f>
        <v>-25.236111111111111</v>
      </c>
      <c r="J216" s="59">
        <f>+I216</f>
        <v>-25.236111111111111</v>
      </c>
      <c r="K216" s="59">
        <f t="shared" ref="K216:N216" si="317">+J216</f>
        <v>-25.236111111111111</v>
      </c>
      <c r="L216" s="59">
        <f t="shared" si="317"/>
        <v>-25.236111111111111</v>
      </c>
      <c r="M216" s="59">
        <f t="shared" si="317"/>
        <v>-25.236111111111111</v>
      </c>
      <c r="N216" s="59">
        <f t="shared" si="317"/>
        <v>-25.236111111111111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0"/>
  <sheetViews>
    <sheetView zoomScaleNormal="100" workbookViewId="0">
      <selection activeCell="G36" sqref="G36"/>
    </sheetView>
  </sheetViews>
  <sheetFormatPr baseColWidth="10" defaultColWidth="8.83203125" defaultRowHeight="15" x14ac:dyDescent="0.2"/>
  <cols>
    <col min="1" max="1" width="48.83203125" customWidth="1"/>
    <col min="2" max="9" width="11.83203125" customWidth="1"/>
    <col min="10" max="10" width="10.83203125" customWidth="1"/>
    <col min="11" max="11" width="8.83203125" customWidth="1"/>
    <col min="12" max="13" width="9.6640625" customWidth="1"/>
    <col min="14" max="14" width="9.83203125" customWidth="1"/>
    <col min="15" max="15" width="52.33203125" customWidth="1"/>
    <col min="16" max="17" width="26.6640625" customWidth="1"/>
  </cols>
  <sheetData>
    <row r="1" spans="1:20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8">
        <f>+I1+1</f>
        <v>2023</v>
      </c>
      <c r="K1" s="38">
        <f>+J1+1</f>
        <v>2024</v>
      </c>
      <c r="L1" s="38">
        <f>+K1+1</f>
        <v>2025</v>
      </c>
      <c r="M1" s="38">
        <f>+L1+1</f>
        <v>2026</v>
      </c>
      <c r="N1" s="38">
        <f>+M1+1</f>
        <v>2027</v>
      </c>
      <c r="O1" s="38"/>
      <c r="P1" s="71"/>
      <c r="Q1" s="71" t="s">
        <v>223</v>
      </c>
    </row>
    <row r="2" spans="1:20" x14ac:dyDescent="0.2">
      <c r="A2" s="39" t="s">
        <v>156</v>
      </c>
      <c r="B2" s="39"/>
      <c r="C2" s="39"/>
      <c r="D2" s="39"/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</row>
    <row r="3" spans="1:20" x14ac:dyDescent="0.2">
      <c r="A3" s="1" t="s">
        <v>136</v>
      </c>
      <c r="B3" s="9">
        <f>'Segmental forecast'!B3</f>
        <v>30601</v>
      </c>
      <c r="C3" s="9">
        <f>'Segmental forecast'!C3</f>
        <v>32376</v>
      </c>
      <c r="D3" s="9">
        <f>'Segmental forecast'!D3</f>
        <v>34350</v>
      </c>
      <c r="E3" s="9">
        <f>'Segmental forecast'!E3</f>
        <v>36397</v>
      </c>
      <c r="F3" s="9">
        <f>'Segmental forecast'!F3</f>
        <v>39117</v>
      </c>
      <c r="G3" s="9">
        <f>'Segmental forecast'!G3</f>
        <v>37403</v>
      </c>
      <c r="H3" s="9">
        <f>'Segmental forecast'!H3</f>
        <v>44538</v>
      </c>
      <c r="I3" s="9">
        <f>'Segmental forecast'!I3</f>
        <v>46710</v>
      </c>
      <c r="J3" s="9">
        <f>'Segmental forecast'!J3</f>
        <v>51149.91</v>
      </c>
      <c r="K3" s="9">
        <f>'Segmental forecast'!K3</f>
        <v>56238.1178</v>
      </c>
      <c r="L3" s="9">
        <f>'Segmental forecast'!L3</f>
        <v>62152.217064000004</v>
      </c>
      <c r="M3" s="9">
        <f>'Segmental forecast'!M3</f>
        <v>69035.727678320007</v>
      </c>
      <c r="N3" s="9">
        <f>'Segmental forecast'!N3</f>
        <v>77060.535136311591</v>
      </c>
      <c r="O3" s="9"/>
      <c r="P3" s="9"/>
      <c r="Q3" s="9"/>
      <c r="R3" s="9">
        <f>'Segmental forecast'!P3</f>
        <v>0</v>
      </c>
      <c r="S3" s="9">
        <f>'Segmental forecast'!Q3</f>
        <v>0</v>
      </c>
      <c r="T3" s="9">
        <f>'Segmental forecast'!R3</f>
        <v>0</v>
      </c>
    </row>
    <row r="4" spans="1:20" x14ac:dyDescent="0.2">
      <c r="A4" s="41" t="s">
        <v>129</v>
      </c>
      <c r="B4" s="49" t="str">
        <f>'Segmental forecast'!B4</f>
        <v>nm</v>
      </c>
      <c r="C4" s="49">
        <f>'Segmental forecast'!C4</f>
        <v>5.8004640371229765E-2</v>
      </c>
      <c r="D4" s="49">
        <f>'Segmental forecast'!D4</f>
        <v>6.0971089696071123E-2</v>
      </c>
      <c r="E4" s="49">
        <f>'Segmental forecast'!E4</f>
        <v>5.95924308588065E-2</v>
      </c>
      <c r="F4" s="49">
        <f>'Segmental forecast'!F4</f>
        <v>7.4731433909388079E-2</v>
      </c>
      <c r="G4" s="49">
        <f>'Segmental forecast'!G4</f>
        <v>-4.3817266150267153E-2</v>
      </c>
      <c r="H4" s="49">
        <f>'Segmental forecast'!H4</f>
        <v>0.19076009945726269</v>
      </c>
      <c r="I4" s="49">
        <f>'Segmental forecast'!I4</f>
        <v>4.8767344739323759E-2</v>
      </c>
      <c r="J4" s="49">
        <f>'Segmental forecast'!J4</f>
        <v>9.5052665382145296E-2</v>
      </c>
      <c r="K4" s="49">
        <f>'Segmental forecast'!K4</f>
        <v>9.9476378355308759E-2</v>
      </c>
      <c r="L4" s="49">
        <f>'Segmental forecast'!L4</f>
        <v>0.10516175674712924</v>
      </c>
      <c r="M4" s="49">
        <f>'Segmental forecast'!M4</f>
        <v>0.11075245485180107</v>
      </c>
      <c r="N4" s="49">
        <f>'Segmental forecast'!N4</f>
        <v>0.11624136846046018</v>
      </c>
      <c r="O4" s="49"/>
      <c r="P4" s="49"/>
      <c r="Q4" s="49"/>
      <c r="R4" s="49"/>
      <c r="S4" s="49"/>
      <c r="T4" s="49"/>
    </row>
    <row r="5" spans="1:20" x14ac:dyDescent="0.2">
      <c r="A5" s="1" t="s">
        <v>157</v>
      </c>
      <c r="B5" s="9">
        <f>'Segmental forecast'!B5</f>
        <v>4839</v>
      </c>
      <c r="C5" s="9">
        <f>'Segmental forecast'!C5</f>
        <v>5311</v>
      </c>
      <c r="D5" s="9">
        <f>'Segmental forecast'!D5</f>
        <v>5016</v>
      </c>
      <c r="E5" s="9">
        <f>'Segmental forecast'!E5</f>
        <v>4270</v>
      </c>
      <c r="F5" s="9">
        <f>'Segmental forecast'!F5</f>
        <v>4552</v>
      </c>
      <c r="G5" s="9">
        <f>'Segmental forecast'!G5</f>
        <v>2804</v>
      </c>
      <c r="H5" s="9">
        <f>'Segmental forecast'!H5</f>
        <v>6452</v>
      </c>
      <c r="I5" s="9">
        <f>'Segmental forecast'!I5</f>
        <v>5965</v>
      </c>
      <c r="J5" s="9">
        <f>'Segmental forecast'!J5</f>
        <v>7843.0170999999991</v>
      </c>
      <c r="K5" s="9">
        <f>'Segmental forecast'!K5</f>
        <v>8594.6197779999966</v>
      </c>
      <c r="L5" s="9">
        <f>'Segmental forecast'!L5</f>
        <v>9486.2957892399972</v>
      </c>
      <c r="M5" s="9">
        <f>'Segmental forecast'!M5</f>
        <v>10543.683541259194</v>
      </c>
      <c r="N5" s="9">
        <f>'Segmental forecast'!N5</f>
        <v>11797.72951808833</v>
      </c>
      <c r="O5" s="9"/>
    </row>
    <row r="6" spans="1:20" x14ac:dyDescent="0.2">
      <c r="A6" s="50" t="s">
        <v>132</v>
      </c>
      <c r="B6" s="51">
        <f>'Segmental forecast'!B8</f>
        <v>606</v>
      </c>
      <c r="C6" s="51">
        <f>'Segmental forecast'!C8</f>
        <v>669</v>
      </c>
      <c r="D6" s="51">
        <f>'Segmental forecast'!D8</f>
        <v>711</v>
      </c>
      <c r="E6" s="51">
        <f>'Segmental forecast'!E8</f>
        <v>741</v>
      </c>
      <c r="F6" s="51">
        <f>'Segmental forecast'!F8</f>
        <v>699</v>
      </c>
      <c r="G6" s="51">
        <f>'Segmental forecast'!G8</f>
        <v>716</v>
      </c>
      <c r="H6" s="51">
        <f>'Segmental forecast'!H8</f>
        <v>755</v>
      </c>
      <c r="I6" s="51">
        <f>'Segmental forecast'!I8</f>
        <v>731</v>
      </c>
      <c r="J6" s="51">
        <f>'Segmental forecast'!J8</f>
        <v>1019.4537529151939</v>
      </c>
      <c r="K6" s="51">
        <f>'Segmental forecast'!K8</f>
        <v>1115.2269526418379</v>
      </c>
      <c r="L6" s="51">
        <f>'Segmental forecast'!L8</f>
        <v>1224.8812915886529</v>
      </c>
      <c r="M6" s="51">
        <f>'Segmental forecast'!M8</f>
        <v>1350.6548389099207</v>
      </c>
      <c r="N6" s="51">
        <f>'Segmental forecast'!N8</f>
        <v>1495.1979248177279</v>
      </c>
      <c r="O6" s="51"/>
    </row>
    <row r="7" spans="1:20" x14ac:dyDescent="0.2">
      <c r="A7" s="4" t="s">
        <v>134</v>
      </c>
      <c r="B7" s="5">
        <f>'Segmental forecast'!B11</f>
        <v>4233</v>
      </c>
      <c r="C7" s="5">
        <f>'Segmental forecast'!C11</f>
        <v>4642</v>
      </c>
      <c r="D7" s="5">
        <f>'Segmental forecast'!D11</f>
        <v>4305</v>
      </c>
      <c r="E7" s="5">
        <f>'Segmental forecast'!E11</f>
        <v>3529</v>
      </c>
      <c r="F7" s="5">
        <f>'Segmental forecast'!F11</f>
        <v>3853</v>
      </c>
      <c r="G7" s="5">
        <f>'Segmental forecast'!G11</f>
        <v>2088</v>
      </c>
      <c r="H7" s="5">
        <f>'Segmental forecast'!H11</f>
        <v>5697</v>
      </c>
      <c r="I7" s="5">
        <f>'Segmental forecast'!I11</f>
        <v>5234</v>
      </c>
      <c r="J7" s="5">
        <f>'Segmental forecast'!J11</f>
        <v>6823.5633470848052</v>
      </c>
      <c r="K7" s="5">
        <f>'Segmental forecast'!K11</f>
        <v>7479.3928253581589</v>
      </c>
      <c r="L7" s="5">
        <f>'Segmental forecast'!L11</f>
        <v>8261.4144976513453</v>
      </c>
      <c r="M7" s="5">
        <f>'Segmental forecast'!M11</f>
        <v>9193.0287023492729</v>
      </c>
      <c r="N7" s="5">
        <f>'Segmental forecast'!N11</f>
        <v>10302.531593270602</v>
      </c>
      <c r="O7" s="40"/>
    </row>
    <row r="8" spans="1:20" x14ac:dyDescent="0.2">
      <c r="A8" s="41" t="s">
        <v>129</v>
      </c>
      <c r="B8" s="49" t="str">
        <f>'Segmental forecast'!B12</f>
        <v>nm</v>
      </c>
      <c r="C8" s="49">
        <f>'Segmental forecast'!C12</f>
        <v>9.6621781242617555E-2</v>
      </c>
      <c r="D8" s="49">
        <f>'Segmental forecast'!D12</f>
        <v>-7.2598018095648476E-2</v>
      </c>
      <c r="E8" s="49">
        <f>'Segmental forecast'!E12</f>
        <v>-0.1802555168408827</v>
      </c>
      <c r="F8" s="49">
        <f>'Segmental forecast'!F12</f>
        <v>9.1810711249645793E-2</v>
      </c>
      <c r="G8" s="49">
        <f>'Segmental forecast'!G12</f>
        <v>-0.4580846093952764</v>
      </c>
      <c r="H8" s="49">
        <f>'Segmental forecast'!H12</f>
        <v>1.728448275862069</v>
      </c>
      <c r="I8" s="49">
        <f>'Segmental forecast'!I12</f>
        <v>-8.1270844304019652E-2</v>
      </c>
      <c r="J8" s="49">
        <f>'Segmental forecast'!J12</f>
        <v>0.30369953134979077</v>
      </c>
      <c r="K8" s="49">
        <f>'Segmental forecast'!K12</f>
        <v>9.6112462787282693E-2</v>
      </c>
      <c r="L8" s="49">
        <f>'Segmental forecast'!L12</f>
        <v>0.10455683911156766</v>
      </c>
      <c r="M8" s="49">
        <f>'Segmental forecast'!M12</f>
        <v>0.11276691236867231</v>
      </c>
      <c r="N8" s="49">
        <f>'Segmental forecast'!N12</f>
        <v>0.12068959282568059</v>
      </c>
      <c r="O8" s="49"/>
    </row>
    <row r="9" spans="1:20" x14ac:dyDescent="0.2">
      <c r="A9" s="41" t="s">
        <v>131</v>
      </c>
      <c r="B9" s="49">
        <f>'Segmental forecast'!B13</f>
        <v>0.13832881278389594</v>
      </c>
      <c r="C9" s="49">
        <f>'Segmental forecast'!C13</f>
        <v>0.14337781072399308</v>
      </c>
      <c r="D9" s="49">
        <f>'Segmental forecast'!D13</f>
        <v>0.12532751091703057</v>
      </c>
      <c r="E9" s="49">
        <f>'Segmental forecast'!E13</f>
        <v>9.6958540539055421E-2</v>
      </c>
      <c r="F9" s="49">
        <f>'Segmental forecast'!F13</f>
        <v>9.8499373673850241E-2</v>
      </c>
      <c r="G9" s="49">
        <f>'Segmental forecast'!G13</f>
        <v>5.5824399112370665E-2</v>
      </c>
      <c r="H9" s="49">
        <f>'Segmental forecast'!H13</f>
        <v>0.12791324262427589</v>
      </c>
      <c r="I9" s="49">
        <f>'Segmental forecast'!I13</f>
        <v>0.11205309355598372</v>
      </c>
      <c r="J9" s="49">
        <f>'Segmental forecast'!J13</f>
        <v>0.1334032327150684</v>
      </c>
      <c r="K9" s="49">
        <f>'Segmental forecast'!K13</f>
        <v>0.13299507732383886</v>
      </c>
      <c r="L9" s="49">
        <f>'Segmental forecast'!L13</f>
        <v>0.13292228158400718</v>
      </c>
      <c r="M9" s="49">
        <f>'Segmental forecast'!M13</f>
        <v>0.13316334905869695</v>
      </c>
      <c r="N9" s="49">
        <f>'Segmental forecast'!N13</f>
        <v>0.13369400530435663</v>
      </c>
      <c r="O9" s="49"/>
    </row>
    <row r="10" spans="1:20" x14ac:dyDescent="0.2">
      <c r="A10" s="2" t="s">
        <v>24</v>
      </c>
      <c r="B10" s="3">
        <f>Historicals!B8</f>
        <v>28</v>
      </c>
      <c r="C10" s="3">
        <f>Historicals!C8</f>
        <v>19</v>
      </c>
      <c r="D10" s="3">
        <f>Historicals!D8</f>
        <v>59</v>
      </c>
      <c r="E10" s="3">
        <f>Historicals!E8</f>
        <v>54</v>
      </c>
      <c r="F10" s="3">
        <f>Historicals!F8</f>
        <v>49</v>
      </c>
      <c r="G10" s="3">
        <f>Historicals!G8</f>
        <v>89</v>
      </c>
      <c r="H10" s="3">
        <f>Historicals!H8</f>
        <v>262</v>
      </c>
      <c r="I10" s="3">
        <f>Historicals!I8</f>
        <v>205</v>
      </c>
      <c r="J10" s="70">
        <f>J50</f>
        <v>814.53</v>
      </c>
      <c r="K10" s="70">
        <f t="shared" ref="K10:N10" si="1">K50</f>
        <v>830.68644407042825</v>
      </c>
      <c r="L10" s="70">
        <f t="shared" si="1"/>
        <v>819.77745032133134</v>
      </c>
      <c r="M10" s="70">
        <f t="shared" si="1"/>
        <v>823.10681613234294</v>
      </c>
      <c r="N10" s="70">
        <f t="shared" si="1"/>
        <v>844.83705342801284</v>
      </c>
      <c r="O10" s="70"/>
    </row>
    <row r="11" spans="1:20" x14ac:dyDescent="0.2">
      <c r="A11" s="4" t="s">
        <v>158</v>
      </c>
      <c r="B11" s="5">
        <f>Historicals!B10</f>
        <v>4205</v>
      </c>
      <c r="C11" s="5">
        <f>Historicals!C10</f>
        <v>4623</v>
      </c>
      <c r="D11" s="5">
        <f>Historicals!D10</f>
        <v>4886</v>
      </c>
      <c r="E11" s="5">
        <f>Historicals!E10</f>
        <v>4325</v>
      </c>
      <c r="F11" s="5">
        <f>Historicals!F10</f>
        <v>4801</v>
      </c>
      <c r="G11" s="5">
        <f>Historicals!G10</f>
        <v>2887</v>
      </c>
      <c r="H11" s="5">
        <f>Historicals!H10</f>
        <v>6661</v>
      </c>
      <c r="I11" s="5">
        <f>Historicals!I10</f>
        <v>6651</v>
      </c>
      <c r="J11" s="5">
        <f>J7-J10</f>
        <v>6009.0333470848054</v>
      </c>
      <c r="K11" s="5">
        <f t="shared" ref="K11:N11" si="2">K7-K10</f>
        <v>6648.7063812877304</v>
      </c>
      <c r="L11" s="5">
        <f t="shared" si="2"/>
        <v>7441.637047330014</v>
      </c>
      <c r="M11" s="5">
        <f t="shared" si="2"/>
        <v>8369.9218862169291</v>
      </c>
      <c r="N11" s="5">
        <f t="shared" si="2"/>
        <v>9457.6945398425887</v>
      </c>
      <c r="O11" s="40"/>
    </row>
    <row r="12" spans="1:20" x14ac:dyDescent="0.2">
      <c r="A12" t="s">
        <v>26</v>
      </c>
      <c r="B12" s="3">
        <f>Historicals!B11</f>
        <v>851</v>
      </c>
      <c r="C12" s="3">
        <f>Historicals!C11</f>
        <v>863</v>
      </c>
      <c r="D12" s="3">
        <f>Historicals!D11</f>
        <v>646</v>
      </c>
      <c r="E12" s="3">
        <f>Historicals!E11</f>
        <v>2392</v>
      </c>
      <c r="F12" s="3">
        <f>Historicals!F11</f>
        <v>772</v>
      </c>
      <c r="G12" s="3">
        <f>Historicals!G11</f>
        <v>348</v>
      </c>
      <c r="H12" s="3">
        <f>Historicals!H11</f>
        <v>934</v>
      </c>
      <c r="I12" s="3">
        <f>Historicals!I11</f>
        <v>605</v>
      </c>
      <c r="J12" s="3">
        <f>J11*J13</f>
        <v>570.85816797305654</v>
      </c>
      <c r="K12" s="3">
        <f t="shared" ref="K12:N12" si="3">K11*K13</f>
        <v>631.62710622233442</v>
      </c>
      <c r="L12" s="3">
        <f t="shared" si="3"/>
        <v>706.95551949635137</v>
      </c>
      <c r="M12" s="3">
        <f t="shared" si="3"/>
        <v>795.14257919060833</v>
      </c>
      <c r="N12" s="3">
        <f t="shared" si="3"/>
        <v>898.48098128504591</v>
      </c>
      <c r="O12" s="3"/>
    </row>
    <row r="13" spans="1:20" x14ac:dyDescent="0.2">
      <c r="A13" s="52" t="s">
        <v>159</v>
      </c>
      <c r="B13" s="53">
        <f>B12/B11</f>
        <v>0.2023781212841855</v>
      </c>
      <c r="C13" s="53">
        <f t="shared" ref="C13:H13" si="4">C12/C11</f>
        <v>0.18667531905688947</v>
      </c>
      <c r="D13" s="53">
        <f t="shared" si="4"/>
        <v>0.13221449038067951</v>
      </c>
      <c r="E13" s="53">
        <f t="shared" si="4"/>
        <v>0.55306358381502885</v>
      </c>
      <c r="F13" s="53">
        <f t="shared" si="4"/>
        <v>0.16079983336804832</v>
      </c>
      <c r="G13" s="53">
        <f t="shared" si="4"/>
        <v>0.12054035330793211</v>
      </c>
      <c r="H13" s="53">
        <f t="shared" si="4"/>
        <v>0.14021918630836211</v>
      </c>
      <c r="I13" s="53">
        <f>I12/I11</f>
        <v>9.0963764847391368E-2</v>
      </c>
      <c r="J13" s="53">
        <v>9.5000000000000001E-2</v>
      </c>
      <c r="K13" s="53">
        <f>J13</f>
        <v>9.5000000000000001E-2</v>
      </c>
      <c r="L13" s="53">
        <f t="shared" ref="L13:N13" si="5">K13</f>
        <v>9.5000000000000001E-2</v>
      </c>
      <c r="M13" s="53">
        <f t="shared" si="5"/>
        <v>9.5000000000000001E-2</v>
      </c>
      <c r="N13" s="53">
        <f t="shared" si="5"/>
        <v>9.5000000000000001E-2</v>
      </c>
      <c r="O13" s="53"/>
    </row>
    <row r="14" spans="1:20" ht="16" thickBot="1" x14ac:dyDescent="0.25">
      <c r="A14" s="6" t="s">
        <v>160</v>
      </c>
      <c r="B14" s="7">
        <f>Historicals!B12</f>
        <v>3354</v>
      </c>
      <c r="C14" s="7">
        <f>Historicals!C12</f>
        <v>3760</v>
      </c>
      <c r="D14" s="7">
        <f>Historicals!D12</f>
        <v>4240</v>
      </c>
      <c r="E14" s="7">
        <f>Historicals!E12</f>
        <v>1933</v>
      </c>
      <c r="F14" s="7">
        <f>Historicals!F12</f>
        <v>4029</v>
      </c>
      <c r="G14" s="7">
        <f>Historicals!G12</f>
        <v>2539</v>
      </c>
      <c r="H14" s="7">
        <f>Historicals!H12</f>
        <v>5727</v>
      </c>
      <c r="I14" s="7">
        <f>Historicals!I12</f>
        <v>6046</v>
      </c>
      <c r="J14" s="7">
        <f>J11-J12</f>
        <v>5438.1751791117485</v>
      </c>
      <c r="K14" s="7">
        <f t="shared" ref="K14:N14" si="6">K11-K12</f>
        <v>6017.0792750653964</v>
      </c>
      <c r="L14" s="7">
        <f t="shared" si="6"/>
        <v>6734.6815278336626</v>
      </c>
      <c r="M14" s="7">
        <f t="shared" si="6"/>
        <v>7574.7793070263206</v>
      </c>
      <c r="N14" s="7">
        <f t="shared" si="6"/>
        <v>8559.2135585575434</v>
      </c>
      <c r="O14" s="40"/>
    </row>
    <row r="15" spans="1:20" ht="16" thickTop="1" x14ac:dyDescent="0.2">
      <c r="A15" t="s">
        <v>161</v>
      </c>
      <c r="B15" s="3">
        <f>Historicals!B18</f>
        <v>1768.8</v>
      </c>
      <c r="C15" s="3">
        <f>Historicals!C18</f>
        <v>1742.5</v>
      </c>
      <c r="D15" s="3">
        <f>Historicals!D18</f>
        <v>1692</v>
      </c>
      <c r="E15" s="3">
        <f>Historicals!E18</f>
        <v>1659.1</v>
      </c>
      <c r="F15" s="3">
        <f>Historicals!F18</f>
        <v>1618.4</v>
      </c>
      <c r="G15" s="3">
        <f>Historicals!G18</f>
        <v>1591.9</v>
      </c>
      <c r="H15" s="3">
        <f>Historicals!H18</f>
        <v>1609.4</v>
      </c>
      <c r="I15" s="3">
        <f>Historicals!I18</f>
        <v>1610.8</v>
      </c>
      <c r="J15" s="72">
        <f>I15-R29*-1</f>
        <v>1584.1237199396573</v>
      </c>
      <c r="K15" s="72">
        <f>J15-S29*-1</f>
        <v>1556.1136258762976</v>
      </c>
      <c r="L15" s="72">
        <f>K15-T29*-1</f>
        <v>1526.7030271097701</v>
      </c>
      <c r="M15" s="72">
        <f>L15-U29*-1</f>
        <v>1495.8218984049161</v>
      </c>
      <c r="N15" s="72">
        <f>M15-V29*-1</f>
        <v>1463.3967132648193</v>
      </c>
      <c r="O15" s="72"/>
      <c r="Q15" t="s">
        <v>224</v>
      </c>
    </row>
    <row r="16" spans="1:20" x14ac:dyDescent="0.2">
      <c r="A16" t="s">
        <v>162</v>
      </c>
      <c r="B16" s="54">
        <f>B14/B15</f>
        <v>1.8962008141112618</v>
      </c>
      <c r="C16" s="54">
        <f>C14/C15</f>
        <v>2.1578192252510759</v>
      </c>
      <c r="D16" s="54">
        <f t="shared" ref="D16:H16" si="7">D14/D15</f>
        <v>2.5059101654846336</v>
      </c>
      <c r="E16" s="54">
        <f t="shared" si="7"/>
        <v>1.1650895063588693</v>
      </c>
      <c r="F16" s="54">
        <f>F14/F15</f>
        <v>2.4894957983193278</v>
      </c>
      <c r="G16" s="54">
        <f t="shared" si="7"/>
        <v>1.5949494314969532</v>
      </c>
      <c r="H16" s="54">
        <f t="shared" si="7"/>
        <v>3.5584689946563937</v>
      </c>
      <c r="I16" s="54">
        <f>I14/I15</f>
        <v>3.7534144524459898</v>
      </c>
      <c r="J16" s="54">
        <f>J14/J15</f>
        <v>3.432923268972262</v>
      </c>
      <c r="K16" s="54">
        <f t="shared" ref="K16" si="8">K14/K15</f>
        <v>3.8667351631709961</v>
      </c>
      <c r="L16" s="54">
        <f t="shared" ref="L16" si="9">L14/L15</f>
        <v>4.411258383749467</v>
      </c>
      <c r="M16" s="54">
        <f t="shared" ref="M16" si="10">M14/M15</f>
        <v>5.0639580254198435</v>
      </c>
      <c r="N16" s="54">
        <f t="shared" ref="N16" si="11">N14/N15</f>
        <v>5.8488675565370434</v>
      </c>
      <c r="O16" s="54"/>
      <c r="P16" t="s">
        <v>225</v>
      </c>
    </row>
    <row r="17" spans="1:22" x14ac:dyDescent="0.2">
      <c r="A17" t="s">
        <v>163</v>
      </c>
      <c r="B17" s="54">
        <f>Historicals!B94/Historicals!B18*-1</f>
        <v>0.508254183627318</v>
      </c>
      <c r="C17" s="54">
        <f>Historicals!C94/Historicals!C18*-1</f>
        <v>0.58651362984218081</v>
      </c>
      <c r="D17" s="54">
        <f>Historicals!D94/Historicals!D18*-1</f>
        <v>0.66962174940898345</v>
      </c>
      <c r="E17" s="54">
        <f>Historicals!E94/Historicals!E18*-1</f>
        <v>0.74920137423904531</v>
      </c>
      <c r="F17" s="54">
        <f>Historicals!F94/Historicals!F18*-1</f>
        <v>0.82303509639149774</v>
      </c>
      <c r="G17" s="54">
        <f>Historicals!G94/Historicals!G18*-1</f>
        <v>0.91211759532633951</v>
      </c>
      <c r="H17" s="54">
        <f>Historicals!H94/Historicals!H18*-1</f>
        <v>1.0177705977382876</v>
      </c>
      <c r="I17" s="54">
        <f>Historicals!I94/Historicals!I18*-1</f>
        <v>1.1404271169605165</v>
      </c>
      <c r="J17" s="54">
        <f>J16*J19</f>
        <v>1.2015231441402916</v>
      </c>
      <c r="K17" s="54">
        <f t="shared" ref="K17:N17" si="12">K16*K19</f>
        <v>1.3533573071098486</v>
      </c>
      <c r="L17" s="54">
        <f t="shared" si="12"/>
        <v>1.5439404343123133</v>
      </c>
      <c r="M17" s="54">
        <f t="shared" si="12"/>
        <v>1.772385308896945</v>
      </c>
      <c r="N17" s="54">
        <f t="shared" si="12"/>
        <v>2.0471036447879651</v>
      </c>
      <c r="O17" s="54"/>
    </row>
    <row r="18" spans="1:22" x14ac:dyDescent="0.2">
      <c r="A18" s="52" t="s">
        <v>129</v>
      </c>
      <c r="B18" s="64" t="str">
        <f>+IFERROR(B3/A3-1,"nm")</f>
        <v>nm</v>
      </c>
      <c r="C18" s="68">
        <f>+IFERROR(C17/B17-1,"nm")</f>
        <v>0.15397698383186809</v>
      </c>
      <c r="D18" s="68">
        <f t="shared" ref="D18:G18" si="13">+IFERROR(D17/C17-1,"nm")</f>
        <v>0.14169853067040461</v>
      </c>
      <c r="E18" s="68">
        <f t="shared" si="13"/>
        <v>0.11884265243818604</v>
      </c>
      <c r="F18" s="68">
        <f t="shared" si="13"/>
        <v>9.8549902190775418E-2</v>
      </c>
      <c r="G18" s="68">
        <f t="shared" si="13"/>
        <v>0.10823657378089191</v>
      </c>
      <c r="H18" s="68">
        <f>+IFERROR(H17/G17-1,"nm")</f>
        <v>0.11583265464158421</v>
      </c>
      <c r="I18" s="68">
        <f>+IFERROR(I17/H17-1,"nm")</f>
        <v>0.12051489745803123</v>
      </c>
      <c r="J18" s="68">
        <f t="shared" ref="J18:N18" si="14">+IFERROR(J17/I17-1,"nm")</f>
        <v>5.3572934448111953E-2</v>
      </c>
      <c r="K18" s="68">
        <f t="shared" si="14"/>
        <v>0.12636807181787302</v>
      </c>
      <c r="L18" s="68">
        <f t="shared" si="14"/>
        <v>0.14082247622356503</v>
      </c>
      <c r="M18" s="68">
        <f t="shared" si="14"/>
        <v>0.14796223319741175</v>
      </c>
      <c r="N18" s="68">
        <f t="shared" si="14"/>
        <v>0.15499921744555234</v>
      </c>
      <c r="O18" s="68"/>
      <c r="R18" s="72">
        <f>Q18-R62</f>
        <v>0</v>
      </c>
      <c r="S18" s="72">
        <f t="shared" ref="S18" si="15">R18-S62</f>
        <v>0</v>
      </c>
      <c r="T18" s="72">
        <f t="shared" ref="T18" si="16">S18-T62</f>
        <v>0</v>
      </c>
      <c r="U18" s="72">
        <f t="shared" ref="U18" si="17">T18-U62</f>
        <v>0</v>
      </c>
      <c r="V18" s="72">
        <f t="shared" ref="V18" si="18">U18-V62</f>
        <v>0</v>
      </c>
    </row>
    <row r="19" spans="1:22" x14ac:dyDescent="0.2">
      <c r="A19" s="52" t="s">
        <v>164</v>
      </c>
      <c r="B19" s="53">
        <f>B17/B16</f>
        <v>0.26803816338700065</v>
      </c>
      <c r="C19" s="53">
        <f t="shared" ref="C19:H19" si="19">C17/C16</f>
        <v>0.27180851063829792</v>
      </c>
      <c r="D19" s="53">
        <f t="shared" si="19"/>
        <v>0.26721698113207548</v>
      </c>
      <c r="E19" s="53">
        <f t="shared" si="19"/>
        <v>0.64304190377651316</v>
      </c>
      <c r="F19" s="53">
        <f t="shared" si="19"/>
        <v>0.33060312732688008</v>
      </c>
      <c r="G19" s="53">
        <f t="shared" si="19"/>
        <v>0.57187869239858213</v>
      </c>
      <c r="H19" s="53">
        <f t="shared" si="19"/>
        <v>0.286013619696176</v>
      </c>
      <c r="I19" s="53">
        <f>I17/I16</f>
        <v>0.30383724776711873</v>
      </c>
      <c r="J19" s="68">
        <v>0.35</v>
      </c>
      <c r="K19" s="68">
        <f>J19</f>
        <v>0.35</v>
      </c>
      <c r="L19" s="68">
        <f t="shared" ref="L19:N19" si="20">K19</f>
        <v>0.35</v>
      </c>
      <c r="M19" s="68">
        <f t="shared" si="20"/>
        <v>0.35</v>
      </c>
      <c r="N19" s="68">
        <f t="shared" si="20"/>
        <v>0.35</v>
      </c>
      <c r="O19" s="68"/>
    </row>
    <row r="20" spans="1:22" x14ac:dyDescent="0.2">
      <c r="A20" s="55" t="s">
        <v>165</v>
      </c>
      <c r="B20" s="39"/>
      <c r="C20" s="39"/>
      <c r="D20" s="39"/>
      <c r="E20" s="39"/>
      <c r="F20" s="39"/>
      <c r="G20" s="39"/>
      <c r="H20" s="39"/>
      <c r="I20" s="39"/>
      <c r="J20" s="38"/>
      <c r="K20" s="38"/>
      <c r="L20" s="38"/>
      <c r="M20" s="38"/>
      <c r="N20" s="38"/>
      <c r="O20" s="38"/>
      <c r="R20" s="58">
        <f>I15-J59</f>
        <v>4616.95</v>
      </c>
      <c r="S20" s="58">
        <f>J15-K59</f>
        <v>4740.5812199396569</v>
      </c>
      <c r="T20" s="58">
        <f>K15-L59</f>
        <v>4870.3940008762975</v>
      </c>
      <c r="U20" s="58">
        <f>L15-M59</f>
        <v>5006.6974208597694</v>
      </c>
      <c r="V20" s="58">
        <f>M15-N59</f>
        <v>5149.8160118424157</v>
      </c>
    </row>
    <row r="21" spans="1:22" x14ac:dyDescent="0.2">
      <c r="A21" t="s">
        <v>166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>
        <f>J68</f>
        <v>8744.0678323202974</v>
      </c>
      <c r="K21" s="3">
        <f>K68</f>
        <v>8629.2363191719087</v>
      </c>
      <c r="L21" s="3">
        <f t="shared" ref="L21:N21" si="21">L68</f>
        <v>8664.2822750772939</v>
      </c>
      <c r="M21" s="3">
        <f t="shared" si="21"/>
        <v>8893.0216150317137</v>
      </c>
      <c r="N21" s="3">
        <f t="shared" si="21"/>
        <v>9367.5610245681564</v>
      </c>
      <c r="O21" s="3"/>
    </row>
    <row r="22" spans="1:22" x14ac:dyDescent="0.2">
      <c r="A22" t="s">
        <v>167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70">
        <f>I22</f>
        <v>4423</v>
      </c>
      <c r="K22" s="70">
        <f t="shared" ref="K22:N22" si="22">J22</f>
        <v>4423</v>
      </c>
      <c r="L22" s="70">
        <f t="shared" si="22"/>
        <v>4423</v>
      </c>
      <c r="M22" s="70">
        <f t="shared" si="22"/>
        <v>4423</v>
      </c>
      <c r="N22" s="70">
        <f t="shared" si="22"/>
        <v>4423</v>
      </c>
      <c r="O22" s="70"/>
      <c r="Q22" t="s">
        <v>228</v>
      </c>
      <c r="R22" s="58">
        <f>J59/R24</f>
        <v>-26.676280060342535</v>
      </c>
      <c r="S22" s="58">
        <f>K59/R24</f>
        <v>-28.010094063359659</v>
      </c>
      <c r="T22" s="58">
        <f>L59/R24</f>
        <v>-29.410598766527642</v>
      </c>
      <c r="U22" s="58">
        <f>M59/R24</f>
        <v>-30.881128704854024</v>
      </c>
      <c r="V22" s="74">
        <f>N59/R24</f>
        <v>-32.425185140096723</v>
      </c>
    </row>
    <row r="23" spans="1:22" x14ac:dyDescent="0.2">
      <c r="A23" t="s">
        <v>168</v>
      </c>
      <c r="B23" s="3">
        <f>(Historicals!B27+Historicals!B28)-Historicals!B41</f>
        <v>5564</v>
      </c>
      <c r="C23" s="3">
        <f>(Historicals!C27+Historicals!C28)-Historicals!C41</f>
        <v>5888</v>
      </c>
      <c r="D23" s="3">
        <f>(Historicals!D27+Historicals!D28)-Historicals!D41</f>
        <v>6684</v>
      </c>
      <c r="E23" s="3">
        <f>(Historicals!E27+Historicals!E28)-Historicals!E41</f>
        <v>6480</v>
      </c>
      <c r="F23" s="3">
        <f>(Historicals!F27+Historicals!F28)-Historicals!F41</f>
        <v>7282</v>
      </c>
      <c r="G23" s="3">
        <f>(Historicals!G27+Historicals!G28)-Historicals!G41</f>
        <v>7868</v>
      </c>
      <c r="H23" s="3">
        <f>(Historicals!H27+Historicals!H28)-Historicals!H41</f>
        <v>8481</v>
      </c>
      <c r="I23" s="3">
        <f>(Historicals!I27+Historicals!I28)-Historicals!I41</f>
        <v>9729</v>
      </c>
      <c r="J23" s="3">
        <f>J3*J24</f>
        <v>10229.982000000002</v>
      </c>
      <c r="K23" s="3">
        <f t="shared" ref="K23:N23" si="23">K3*K24</f>
        <v>11247.62356</v>
      </c>
      <c r="L23" s="3">
        <f t="shared" si="23"/>
        <v>12430.443412800001</v>
      </c>
      <c r="M23" s="3">
        <f t="shared" si="23"/>
        <v>13807.145535664002</v>
      </c>
      <c r="N23" s="3">
        <f t="shared" si="23"/>
        <v>15412.107027262318</v>
      </c>
      <c r="O23" s="3"/>
      <c r="R23" s="51"/>
    </row>
    <row r="24" spans="1:22" x14ac:dyDescent="0.2">
      <c r="A24" s="52" t="s">
        <v>169</v>
      </c>
      <c r="B24" s="53">
        <f t="shared" ref="B24:I24" si="24">B23/B3</f>
        <v>0.18182412339466031</v>
      </c>
      <c r="C24" s="53">
        <f t="shared" si="24"/>
        <v>0.1818631084754139</v>
      </c>
      <c r="D24" s="53">
        <f t="shared" si="24"/>
        <v>0.19458515283842795</v>
      </c>
      <c r="E24" s="53">
        <f t="shared" si="24"/>
        <v>0.17803665137236585</v>
      </c>
      <c r="F24" s="53">
        <f t="shared" si="24"/>
        <v>0.18615947030702765</v>
      </c>
      <c r="G24" s="53">
        <f t="shared" si="24"/>
        <v>0.21035745795791783</v>
      </c>
      <c r="H24" s="53">
        <f t="shared" si="24"/>
        <v>0.19042166240064665</v>
      </c>
      <c r="I24" s="53">
        <f t="shared" si="24"/>
        <v>0.20828516377649325</v>
      </c>
      <c r="J24" s="53">
        <v>0.2</v>
      </c>
      <c r="K24" s="53">
        <v>0.2</v>
      </c>
      <c r="L24" s="53">
        <v>0.2</v>
      </c>
      <c r="M24" s="53">
        <v>0.2</v>
      </c>
      <c r="N24" s="53">
        <v>0.2</v>
      </c>
      <c r="O24" s="53"/>
      <c r="R24" s="64">
        <v>112.69</v>
      </c>
      <c r="S24" s="64">
        <v>112.69</v>
      </c>
      <c r="T24" s="64">
        <v>112.69</v>
      </c>
      <c r="U24" s="64">
        <v>112.69</v>
      </c>
      <c r="V24" s="64">
        <v>112.69</v>
      </c>
    </row>
    <row r="25" spans="1:22" x14ac:dyDescent="0.2">
      <c r="A25" t="s">
        <v>170</v>
      </c>
      <c r="B25" s="3">
        <f>Historicals!B29</f>
        <v>1968</v>
      </c>
      <c r="C25" s="3">
        <f>Historicals!C29</f>
        <v>1489</v>
      </c>
      <c r="D25" s="3">
        <f>Historicals!D29</f>
        <v>1150</v>
      </c>
      <c r="E25" s="3">
        <f>Historicals!E29</f>
        <v>1130</v>
      </c>
      <c r="F25" s="3">
        <f>Historicals!F29</f>
        <v>1968</v>
      </c>
      <c r="G25" s="3">
        <f>Historicals!G29</f>
        <v>1653</v>
      </c>
      <c r="H25" s="3">
        <f>Historicals!H29</f>
        <v>1498</v>
      </c>
      <c r="I25" s="3">
        <f>Historicals!I29</f>
        <v>2129</v>
      </c>
      <c r="J25" s="3">
        <f>I25</f>
        <v>2129</v>
      </c>
      <c r="K25" s="3">
        <f t="shared" ref="K25:N25" si="25">J25</f>
        <v>2129</v>
      </c>
      <c r="L25" s="3">
        <f t="shared" si="25"/>
        <v>2129</v>
      </c>
      <c r="M25" s="3">
        <f t="shared" si="25"/>
        <v>2129</v>
      </c>
      <c r="N25" s="3">
        <f t="shared" si="25"/>
        <v>2129</v>
      </c>
      <c r="O25" s="3"/>
    </row>
    <row r="26" spans="1:22" x14ac:dyDescent="0.2">
      <c r="A26" t="s">
        <v>171</v>
      </c>
      <c r="B26" s="3">
        <f>Historicals!B31</f>
        <v>3011</v>
      </c>
      <c r="C26" s="3">
        <f>Historicals!C31</f>
        <v>3520</v>
      </c>
      <c r="D26" s="3">
        <f>Historicals!D31</f>
        <v>3989</v>
      </c>
      <c r="E26" s="3">
        <f>Historicals!E31</f>
        <v>4454</v>
      </c>
      <c r="F26" s="3">
        <f>Historicals!F31</f>
        <v>4744</v>
      </c>
      <c r="G26" s="3">
        <f>Historicals!G31</f>
        <v>4866</v>
      </c>
      <c r="H26" s="3">
        <f>Historicals!H31</f>
        <v>4904</v>
      </c>
      <c r="I26" s="3">
        <f>Historicals!I31</f>
        <v>4791</v>
      </c>
      <c r="J26" s="3">
        <f>I26-J47-J52</f>
        <v>4648.6140341023374</v>
      </c>
      <c r="K26" s="3">
        <f t="shared" ref="K26:N26" si="26">J26-K47-K52</f>
        <v>4500.4480160432367</v>
      </c>
      <c r="L26" s="3">
        <f t="shared" si="26"/>
        <v>4345.84482542973</v>
      </c>
      <c r="M26" s="3">
        <f t="shared" si="26"/>
        <v>4184.0155184284204</v>
      </c>
      <c r="N26" s="3">
        <f t="shared" si="26"/>
        <v>4014.0093169185657</v>
      </c>
      <c r="O26" s="3"/>
      <c r="R26" s="58">
        <f>R20+R22</f>
        <v>4590.273719939657</v>
      </c>
      <c r="S26" s="58">
        <f t="shared" ref="S26:V26" si="27">S20+S22</f>
        <v>4712.5711258762976</v>
      </c>
      <c r="T26" s="58">
        <f t="shared" si="27"/>
        <v>4840.9834021097695</v>
      </c>
      <c r="U26" s="58">
        <f t="shared" si="27"/>
        <v>4975.8162921549156</v>
      </c>
      <c r="V26" s="58">
        <f t="shared" si="27"/>
        <v>5117.3908267023189</v>
      </c>
    </row>
    <row r="27" spans="1:22" x14ac:dyDescent="0.2">
      <c r="A27" t="s">
        <v>172</v>
      </c>
      <c r="B27" s="3">
        <f>Historicals!B33</f>
        <v>281</v>
      </c>
      <c r="C27" s="3">
        <f>Historicals!C33</f>
        <v>281</v>
      </c>
      <c r="D27" s="3">
        <f>Historicals!D33</f>
        <v>283</v>
      </c>
      <c r="E27" s="3">
        <f>Historicals!E33</f>
        <v>285</v>
      </c>
      <c r="F27" s="3">
        <f>Historicals!F33</f>
        <v>283</v>
      </c>
      <c r="G27" s="3">
        <f>Historicals!G33</f>
        <v>274</v>
      </c>
      <c r="H27" s="3">
        <f>Historicals!H33</f>
        <v>269</v>
      </c>
      <c r="I27" s="3">
        <f>Historicals!I33</f>
        <v>286</v>
      </c>
      <c r="J27" s="3">
        <f>I27</f>
        <v>286</v>
      </c>
      <c r="K27" s="3">
        <f t="shared" ref="K27:N27" si="28">J27</f>
        <v>286</v>
      </c>
      <c r="L27" s="3">
        <f t="shared" si="28"/>
        <v>286</v>
      </c>
      <c r="M27" s="3">
        <f t="shared" si="28"/>
        <v>286</v>
      </c>
      <c r="N27" s="3">
        <f t="shared" si="28"/>
        <v>286</v>
      </c>
      <c r="O27" s="3"/>
    </row>
    <row r="28" spans="1:22" x14ac:dyDescent="0.2">
      <c r="A28" t="s">
        <v>40</v>
      </c>
      <c r="B28" s="3">
        <f>Historicals!B34</f>
        <v>131</v>
      </c>
      <c r="C28" s="3">
        <f>Historicals!C34</f>
        <v>131</v>
      </c>
      <c r="D28" s="3">
        <f>Historicals!D34</f>
        <v>139</v>
      </c>
      <c r="E28" s="3">
        <f>Historicals!E34</f>
        <v>154</v>
      </c>
      <c r="F28" s="3">
        <f>Historicals!F34</f>
        <v>154</v>
      </c>
      <c r="G28" s="3">
        <f>Historicals!G34</f>
        <v>223</v>
      </c>
      <c r="H28" s="3">
        <f>Historicals!H34</f>
        <v>242</v>
      </c>
      <c r="I28" s="3">
        <f>Historicals!I34</f>
        <v>284</v>
      </c>
      <c r="J28" s="3">
        <f>I28</f>
        <v>284</v>
      </c>
      <c r="K28" s="3">
        <f t="shared" ref="K28:N28" si="29">J28</f>
        <v>284</v>
      </c>
      <c r="L28" s="3">
        <f t="shared" si="29"/>
        <v>284</v>
      </c>
      <c r="M28" s="3">
        <f t="shared" si="29"/>
        <v>284</v>
      </c>
      <c r="N28" s="3">
        <f t="shared" si="29"/>
        <v>284</v>
      </c>
      <c r="O28" s="3"/>
    </row>
    <row r="29" spans="1:22" x14ac:dyDescent="0.2">
      <c r="A29" s="56" t="s">
        <v>38</v>
      </c>
      <c r="B29" s="3">
        <f>Historicals!B32</f>
        <v>0</v>
      </c>
      <c r="C29" s="3">
        <f>Historicals!C32</f>
        <v>0</v>
      </c>
      <c r="D29" s="3">
        <f>Historicals!D32</f>
        <v>0</v>
      </c>
      <c r="E29" s="3">
        <f>Historicals!E32</f>
        <v>0</v>
      </c>
      <c r="F29" s="3">
        <f>Historicals!F32</f>
        <v>0</v>
      </c>
      <c r="G29" s="3">
        <f>Historicals!G32</f>
        <v>3097</v>
      </c>
      <c r="H29" s="3">
        <f>Historicals!H32</f>
        <v>3113</v>
      </c>
      <c r="I29" s="3">
        <f>Historicals!I32</f>
        <v>2926</v>
      </c>
      <c r="J29" s="3">
        <f>I29</f>
        <v>2926</v>
      </c>
      <c r="K29" s="3">
        <f t="shared" ref="K29:N29" si="30">J29</f>
        <v>2926</v>
      </c>
      <c r="L29" s="3">
        <f t="shared" si="30"/>
        <v>2926</v>
      </c>
      <c r="M29" s="3">
        <f t="shared" si="30"/>
        <v>2926</v>
      </c>
      <c r="N29" s="3">
        <f t="shared" si="30"/>
        <v>2926</v>
      </c>
      <c r="O29" s="3"/>
      <c r="R29" s="74">
        <f>J59/R24</f>
        <v>-26.676280060342535</v>
      </c>
      <c r="S29" s="74">
        <f>K59/S24</f>
        <v>-28.010094063359659</v>
      </c>
      <c r="T29" s="74">
        <f>L59/T24</f>
        <v>-29.410598766527642</v>
      </c>
      <c r="U29" s="74">
        <f>M59/U24</f>
        <v>-30.881128704854024</v>
      </c>
      <c r="V29" s="74">
        <f>N59/V24</f>
        <v>-32.425185140096723</v>
      </c>
    </row>
    <row r="30" spans="1:22" x14ac:dyDescent="0.2">
      <c r="A30" t="s">
        <v>173</v>
      </c>
      <c r="B30" s="3">
        <f>Historicals!B35</f>
        <v>2587</v>
      </c>
      <c r="C30" s="3">
        <f>Historicals!C35</f>
        <v>2439</v>
      </c>
      <c r="D30" s="3">
        <f>Historicals!D35</f>
        <v>2787</v>
      </c>
      <c r="E30" s="3">
        <f>Historicals!E35</f>
        <v>2509</v>
      </c>
      <c r="F30" s="3">
        <f>Historicals!F35</f>
        <v>2011</v>
      </c>
      <c r="G30" s="3">
        <f>Historicals!G35</f>
        <v>2326</v>
      </c>
      <c r="H30" s="3">
        <f>Historicals!H35</f>
        <v>2921</v>
      </c>
      <c r="I30" s="3">
        <f>Historicals!I35</f>
        <v>3821</v>
      </c>
      <c r="J30" s="3">
        <f>I30</f>
        <v>3821</v>
      </c>
      <c r="K30" s="3">
        <f t="shared" ref="K30:N30" si="31">J30</f>
        <v>3821</v>
      </c>
      <c r="L30" s="3">
        <f t="shared" si="31"/>
        <v>3821</v>
      </c>
      <c r="M30" s="3">
        <f t="shared" si="31"/>
        <v>3821</v>
      </c>
      <c r="N30" s="3">
        <f t="shared" si="31"/>
        <v>3821</v>
      </c>
      <c r="O30" s="3"/>
    </row>
    <row r="31" spans="1:22" ht="16" thickBot="1" x14ac:dyDescent="0.25">
      <c r="A31" s="6" t="s">
        <v>174</v>
      </c>
      <c r="B31" s="7">
        <f t="shared" ref="B31:I31" si="32">B21+B22+B23+B25+B26+B27+B28+B29+B30</f>
        <v>19466</v>
      </c>
      <c r="C31" s="7">
        <f t="shared" si="32"/>
        <v>19205</v>
      </c>
      <c r="D31" s="7">
        <f t="shared" si="32"/>
        <v>21211</v>
      </c>
      <c r="E31" s="7">
        <f t="shared" si="32"/>
        <v>20257</v>
      </c>
      <c r="F31" s="7">
        <f t="shared" si="32"/>
        <v>21105</v>
      </c>
      <c r="G31" s="7">
        <f t="shared" si="32"/>
        <v>29094</v>
      </c>
      <c r="H31" s="7">
        <f t="shared" si="32"/>
        <v>34904</v>
      </c>
      <c r="I31" s="7">
        <f t="shared" si="32"/>
        <v>36963</v>
      </c>
      <c r="J31" s="7">
        <f>J21+J22+J23+J25+J26+J27+J28+J29+J30</f>
        <v>37491.663866422634</v>
      </c>
      <c r="K31" s="7">
        <f t="shared" ref="K31:N31" si="33">K21+K22+K23+K25+K26+K27+K28+K29+K30</f>
        <v>38246.307895215141</v>
      </c>
      <c r="L31" s="7">
        <f t="shared" si="33"/>
        <v>39309.57051330703</v>
      </c>
      <c r="M31" s="7">
        <f t="shared" si="33"/>
        <v>40753.182669124137</v>
      </c>
      <c r="N31" s="7">
        <f t="shared" si="33"/>
        <v>42662.677368749042</v>
      </c>
      <c r="O31" s="40"/>
    </row>
    <row r="32" spans="1:22" ht="16" thickTop="1" x14ac:dyDescent="0.2">
      <c r="A32" t="s">
        <v>175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8" x14ac:dyDescent="0.2">
      <c r="A33" s="2" t="s">
        <v>45</v>
      </c>
      <c r="B33" s="3">
        <f>Historicals!B39</f>
        <v>107</v>
      </c>
      <c r="C33" s="3">
        <f>Historicals!C39</f>
        <v>44</v>
      </c>
      <c r="D33" s="3">
        <f>Historicals!D39</f>
        <v>6</v>
      </c>
      <c r="E33" s="3">
        <f>Historicals!E39</f>
        <v>6</v>
      </c>
      <c r="F33" s="3">
        <f>Historicals!F39</f>
        <v>6</v>
      </c>
      <c r="G33" s="3">
        <f>Historicals!G39</f>
        <v>3</v>
      </c>
      <c r="H33" s="3">
        <f>Historicals!H39</f>
        <v>0</v>
      </c>
      <c r="I33" s="3">
        <f>Historicals!I39</f>
        <v>500</v>
      </c>
      <c r="J33" s="3">
        <f>I33</f>
        <v>500</v>
      </c>
      <c r="K33" s="3">
        <f t="shared" ref="K33:N33" si="34">J33</f>
        <v>500</v>
      </c>
      <c r="L33" s="3">
        <f t="shared" si="34"/>
        <v>500</v>
      </c>
      <c r="M33" s="3">
        <f t="shared" si="34"/>
        <v>500</v>
      </c>
      <c r="N33" s="3">
        <f t="shared" si="34"/>
        <v>500</v>
      </c>
      <c r="O33" s="3"/>
    </row>
    <row r="34" spans="1:18" x14ac:dyDescent="0.2">
      <c r="A34" s="2" t="s">
        <v>46</v>
      </c>
      <c r="B34" s="3">
        <f>Historicals!B40</f>
        <v>74</v>
      </c>
      <c r="C34" s="3">
        <f>Historicals!C40</f>
        <v>1</v>
      </c>
      <c r="D34" s="3">
        <f>Historicals!D40</f>
        <v>325</v>
      </c>
      <c r="E34" s="3">
        <f>Historicals!E40</f>
        <v>336</v>
      </c>
      <c r="F34" s="3">
        <f>Historicals!F40</f>
        <v>9</v>
      </c>
      <c r="G34" s="3">
        <f>Historicals!G40</f>
        <v>248</v>
      </c>
      <c r="H34" s="3">
        <f>Historicals!H40</f>
        <v>2</v>
      </c>
      <c r="I34" s="3">
        <f>Historicals!I40</f>
        <v>10</v>
      </c>
      <c r="J34" s="3">
        <f t="shared" ref="J34:N34" si="35">I34</f>
        <v>10</v>
      </c>
      <c r="K34" s="3">
        <f t="shared" si="35"/>
        <v>10</v>
      </c>
      <c r="L34" s="3">
        <f t="shared" si="35"/>
        <v>10</v>
      </c>
      <c r="M34" s="3">
        <f t="shared" si="35"/>
        <v>10</v>
      </c>
      <c r="N34" s="3">
        <f t="shared" si="35"/>
        <v>10</v>
      </c>
      <c r="O34" s="3"/>
    </row>
    <row r="35" spans="1:18" x14ac:dyDescent="0.2">
      <c r="A35" t="s">
        <v>176</v>
      </c>
      <c r="B35" s="3">
        <f>Historicals!B42+Historicals!B43+Historicals!B44</f>
        <v>4020</v>
      </c>
      <c r="C35" s="3">
        <f>Historicals!C42+Historicals!C43+Historicals!C44</f>
        <v>3122</v>
      </c>
      <c r="D35" s="3">
        <f>Historicals!D42+Historicals!D43+Historicals!D44</f>
        <v>3095</v>
      </c>
      <c r="E35" s="3">
        <f>Historicals!E42+Historicals!E43+Historicals!E44</f>
        <v>3419</v>
      </c>
      <c r="F35" s="3">
        <f>Historicals!F42+Historicals!F43+Historicals!F44</f>
        <v>5239</v>
      </c>
      <c r="G35" s="3">
        <f>Historicals!G42+Historicals!G43+Historicals!G44</f>
        <v>5785</v>
      </c>
      <c r="H35" s="3">
        <f>Historicals!H42+Historicals!H43+Historicals!H44</f>
        <v>6836</v>
      </c>
      <c r="I35" s="3">
        <f>Historicals!I42+Historicals!I43+Historicals!I44</f>
        <v>6862</v>
      </c>
      <c r="J35" s="3">
        <f t="shared" ref="J35:N35" si="36">I35</f>
        <v>6862</v>
      </c>
      <c r="K35" s="3">
        <f t="shared" si="36"/>
        <v>6862</v>
      </c>
      <c r="L35" s="3">
        <f t="shared" si="36"/>
        <v>6862</v>
      </c>
      <c r="M35" s="3">
        <f t="shared" si="36"/>
        <v>6862</v>
      </c>
      <c r="N35" s="3">
        <f t="shared" si="36"/>
        <v>6862</v>
      </c>
      <c r="O35" s="3"/>
    </row>
    <row r="36" spans="1:18" x14ac:dyDescent="0.2">
      <c r="A36" t="s">
        <v>49</v>
      </c>
      <c r="B36">
        <f>Historicals!B46</f>
        <v>1079</v>
      </c>
      <c r="C36">
        <f>Historicals!C46</f>
        <v>2010</v>
      </c>
      <c r="D36">
        <f>Historicals!D46</f>
        <v>3471</v>
      </c>
      <c r="E36">
        <f>Historicals!E46</f>
        <v>3468</v>
      </c>
      <c r="F36">
        <f>Historicals!F46</f>
        <v>3464</v>
      </c>
      <c r="G36">
        <f>Historicals!G46</f>
        <v>9406</v>
      </c>
      <c r="H36">
        <f>Historicals!H46</f>
        <v>9413</v>
      </c>
      <c r="I36">
        <f>Historicals!I46</f>
        <v>8920</v>
      </c>
      <c r="J36" s="3">
        <f t="shared" ref="J36:N36" si="37">I36</f>
        <v>8920</v>
      </c>
      <c r="K36" s="3">
        <f t="shared" si="37"/>
        <v>8920</v>
      </c>
      <c r="L36" s="3">
        <f t="shared" si="37"/>
        <v>8920</v>
      </c>
      <c r="M36" s="3">
        <f t="shared" si="37"/>
        <v>8920</v>
      </c>
      <c r="N36" s="3">
        <f t="shared" si="37"/>
        <v>8920</v>
      </c>
      <c r="O36" s="3"/>
      <c r="R36" s="69"/>
    </row>
    <row r="37" spans="1:18" x14ac:dyDescent="0.2">
      <c r="A37" s="56" t="s">
        <v>50</v>
      </c>
      <c r="B37" s="3">
        <f>Historicals!B47</f>
        <v>0</v>
      </c>
      <c r="C37" s="3">
        <f>Historicals!C47</f>
        <v>0</v>
      </c>
      <c r="D37" s="3">
        <f>Historicals!D47</f>
        <v>0</v>
      </c>
      <c r="E37" s="3">
        <f>Historicals!E47</f>
        <v>0</v>
      </c>
      <c r="F37" s="3">
        <f>Historicals!F47</f>
        <v>0</v>
      </c>
      <c r="G37" s="3">
        <f>Historicals!G47</f>
        <v>2913</v>
      </c>
      <c r="H37" s="3">
        <f>Historicals!H47</f>
        <v>2931</v>
      </c>
      <c r="I37" s="3">
        <f>Historicals!I47</f>
        <v>2777</v>
      </c>
      <c r="J37" s="3">
        <f t="shared" ref="J37:N37" si="38">I37</f>
        <v>2777</v>
      </c>
      <c r="K37" s="3">
        <f t="shared" si="38"/>
        <v>2777</v>
      </c>
      <c r="L37" s="3">
        <f t="shared" si="38"/>
        <v>2777</v>
      </c>
      <c r="M37" s="3">
        <f t="shared" si="38"/>
        <v>2777</v>
      </c>
      <c r="N37" s="3">
        <f t="shared" si="38"/>
        <v>2777</v>
      </c>
      <c r="O37" s="3"/>
    </row>
    <row r="38" spans="1:18" x14ac:dyDescent="0.2">
      <c r="A38" t="s">
        <v>177</v>
      </c>
      <c r="B38" s="3">
        <f>Historicals!B48</f>
        <v>1479</v>
      </c>
      <c r="C38" s="3">
        <f>Historicals!C48</f>
        <v>1770</v>
      </c>
      <c r="D38" s="3">
        <f>Historicals!D48</f>
        <v>1907</v>
      </c>
      <c r="E38" s="3">
        <f>Historicals!E48</f>
        <v>3216</v>
      </c>
      <c r="F38" s="3">
        <f>Historicals!F48</f>
        <v>3347</v>
      </c>
      <c r="G38" s="3">
        <f>Historicals!G48</f>
        <v>2684</v>
      </c>
      <c r="H38" s="3">
        <f>Historicals!H48</f>
        <v>2955</v>
      </c>
      <c r="I38" s="3">
        <f>Historicals!I48</f>
        <v>2613</v>
      </c>
      <c r="J38" s="3">
        <f t="shared" ref="J38:N38" si="39">I38</f>
        <v>2613</v>
      </c>
      <c r="K38" s="3">
        <f t="shared" si="39"/>
        <v>2613</v>
      </c>
      <c r="L38" s="3">
        <f t="shared" si="39"/>
        <v>2613</v>
      </c>
      <c r="M38" s="3">
        <f t="shared" si="39"/>
        <v>2613</v>
      </c>
      <c r="N38" s="3">
        <f t="shared" si="39"/>
        <v>2613</v>
      </c>
      <c r="O38" s="3"/>
    </row>
    <row r="39" spans="1:18" x14ac:dyDescent="0.2">
      <c r="A39" t="s">
        <v>178</v>
      </c>
      <c r="B39" s="3">
        <f>B40+B41+B42</f>
        <v>12707</v>
      </c>
      <c r="C39" s="3">
        <f t="shared" ref="C39:H39" si="40">C40+C41+C42</f>
        <v>12258</v>
      </c>
      <c r="D39" s="3">
        <f t="shared" si="40"/>
        <v>12407</v>
      </c>
      <c r="E39" s="3">
        <f t="shared" si="40"/>
        <v>9812</v>
      </c>
      <c r="F39" s="3">
        <f t="shared" si="40"/>
        <v>9040</v>
      </c>
      <c r="G39" s="3">
        <f t="shared" si="40"/>
        <v>8055</v>
      </c>
      <c r="H39" s="3">
        <f t="shared" si="40"/>
        <v>12767</v>
      </c>
      <c r="I39" s="3">
        <f>I40+I41+I42</f>
        <v>15281</v>
      </c>
      <c r="J39" s="3">
        <f t="shared" ref="J39:N39" si="41">J40+J41+J42</f>
        <v>15809.663866422638</v>
      </c>
      <c r="K39" s="3">
        <f t="shared" si="41"/>
        <v>16564.307895215145</v>
      </c>
      <c r="L39" s="3">
        <f t="shared" si="41"/>
        <v>17627.570513307026</v>
      </c>
      <c r="M39" s="3">
        <f t="shared" si="41"/>
        <v>19071.182669124137</v>
      </c>
      <c r="N39" s="3">
        <f t="shared" si="41"/>
        <v>20980.677368749039</v>
      </c>
      <c r="O39" s="3"/>
    </row>
    <row r="40" spans="1:18" x14ac:dyDescent="0.2">
      <c r="A40" s="2" t="s">
        <v>179</v>
      </c>
      <c r="B40" s="3">
        <f>Historicals!B54</f>
        <v>3</v>
      </c>
      <c r="C40" s="3">
        <f>Historicals!C54</f>
        <v>3</v>
      </c>
      <c r="D40" s="3">
        <f>Historicals!D54</f>
        <v>3</v>
      </c>
      <c r="E40" s="3">
        <f>Historicals!E54</f>
        <v>3</v>
      </c>
      <c r="F40" s="3">
        <f>Historicals!F54</f>
        <v>3</v>
      </c>
      <c r="G40" s="3">
        <f>Historicals!G54</f>
        <v>3</v>
      </c>
      <c r="H40" s="3">
        <f>Historicals!H54</f>
        <v>3</v>
      </c>
      <c r="I40" s="3">
        <f>Historicals!I54</f>
        <v>3</v>
      </c>
      <c r="J40" s="3">
        <f t="shared" ref="J40:N40" si="42">I40</f>
        <v>3</v>
      </c>
      <c r="K40" s="3">
        <f t="shared" si="42"/>
        <v>3</v>
      </c>
      <c r="L40" s="3">
        <f t="shared" si="42"/>
        <v>3</v>
      </c>
      <c r="M40" s="3">
        <f t="shared" si="42"/>
        <v>3</v>
      </c>
      <c r="N40" s="3">
        <f t="shared" si="42"/>
        <v>3</v>
      </c>
      <c r="O40" s="3"/>
    </row>
    <row r="41" spans="1:18" x14ac:dyDescent="0.2">
      <c r="A41" s="2" t="s">
        <v>180</v>
      </c>
      <c r="B41" s="3">
        <f>Historicals!B57</f>
        <v>4685</v>
      </c>
      <c r="C41" s="3">
        <f>Historicals!C57</f>
        <v>4151</v>
      </c>
      <c r="D41" s="3">
        <f>Historicals!D57</f>
        <v>6907</v>
      </c>
      <c r="E41" s="3">
        <f>Historicals!E57</f>
        <v>3517</v>
      </c>
      <c r="F41" s="3">
        <f>Historicals!F57</f>
        <v>1643</v>
      </c>
      <c r="G41" s="3">
        <f>Historicals!G57</f>
        <v>-191</v>
      </c>
      <c r="H41" s="3">
        <f>Historicals!H57</f>
        <v>3179</v>
      </c>
      <c r="I41" s="3">
        <f>Historicals!I57</f>
        <v>3476</v>
      </c>
      <c r="J41" s="3">
        <f>J14+J61+J59+I41</f>
        <v>4004.6638664226366</v>
      </c>
      <c r="K41" s="3">
        <f t="shared" ref="K41:N41" si="43">K14+K61+K59+J41</f>
        <v>4759.3078952151445</v>
      </c>
      <c r="L41" s="3">
        <f t="shared" si="43"/>
        <v>5822.570513307026</v>
      </c>
      <c r="M41" s="3">
        <f t="shared" si="43"/>
        <v>7266.1826691241349</v>
      </c>
      <c r="N41" s="3">
        <f t="shared" si="43"/>
        <v>9175.6773687490386</v>
      </c>
      <c r="O41" s="3"/>
    </row>
    <row r="42" spans="1:18" x14ac:dyDescent="0.2">
      <c r="A42" s="2" t="s">
        <v>181</v>
      </c>
      <c r="B42" s="3">
        <f>Historicals!B55+Historicals!B56</f>
        <v>8019</v>
      </c>
      <c r="C42" s="3">
        <f>Historicals!C55+Historicals!C56</f>
        <v>8104</v>
      </c>
      <c r="D42" s="3">
        <f>Historicals!D55+Historicals!D56</f>
        <v>5497</v>
      </c>
      <c r="E42" s="3">
        <f>Historicals!E55+Historicals!E56</f>
        <v>6292</v>
      </c>
      <c r="F42" s="3">
        <f>Historicals!F55+Historicals!F56</f>
        <v>7394</v>
      </c>
      <c r="G42" s="3">
        <f>Historicals!G55+Historicals!G56</f>
        <v>8243</v>
      </c>
      <c r="H42" s="3">
        <f>Historicals!H55+Historicals!H56</f>
        <v>9585</v>
      </c>
      <c r="I42" s="3">
        <f>Historicals!I55+Historicals!I56</f>
        <v>11802</v>
      </c>
      <c r="J42" s="3">
        <f>I42</f>
        <v>11802</v>
      </c>
      <c r="K42" s="3">
        <f t="shared" ref="K42:N42" si="44">J42</f>
        <v>11802</v>
      </c>
      <c r="L42" s="3">
        <f t="shared" si="44"/>
        <v>11802</v>
      </c>
      <c r="M42" s="3">
        <f t="shared" si="44"/>
        <v>11802</v>
      </c>
      <c r="N42" s="3">
        <f t="shared" si="44"/>
        <v>11802</v>
      </c>
      <c r="O42" s="3"/>
    </row>
    <row r="43" spans="1:18" ht="16" thickBot="1" x14ac:dyDescent="0.25">
      <c r="A43" s="6" t="s">
        <v>182</v>
      </c>
      <c r="B43" s="7">
        <f>B33+B34+B35+B36+B37+B38+B39</f>
        <v>19466</v>
      </c>
      <c r="C43" s="7">
        <f t="shared" ref="C43:N43" si="45">C33+C34+C35+C36+C37+C38+C39</f>
        <v>19205</v>
      </c>
      <c r="D43" s="7">
        <f t="shared" si="45"/>
        <v>21211</v>
      </c>
      <c r="E43" s="7">
        <f t="shared" si="45"/>
        <v>20257</v>
      </c>
      <c r="F43" s="7">
        <f t="shared" si="45"/>
        <v>21105</v>
      </c>
      <c r="G43" s="7">
        <f t="shared" si="45"/>
        <v>29094</v>
      </c>
      <c r="H43" s="7">
        <f t="shared" si="45"/>
        <v>34904</v>
      </c>
      <c r="I43" s="7">
        <f t="shared" si="45"/>
        <v>36963</v>
      </c>
      <c r="J43" s="7">
        <f>J33+J34+J35+J36+J37+J38+J39</f>
        <v>37491.663866422634</v>
      </c>
      <c r="K43" s="7">
        <f t="shared" si="45"/>
        <v>38246.307895215141</v>
      </c>
      <c r="L43" s="7">
        <f t="shared" si="45"/>
        <v>39309.57051330703</v>
      </c>
      <c r="M43" s="7">
        <f t="shared" si="45"/>
        <v>40753.182669124137</v>
      </c>
      <c r="N43" s="7">
        <f t="shared" si="45"/>
        <v>42662.677368749035</v>
      </c>
      <c r="O43" s="40"/>
    </row>
    <row r="44" spans="1:18" s="1" customFormat="1" ht="16" thickTop="1" x14ac:dyDescent="0.2">
      <c r="A44" s="57" t="s">
        <v>183</v>
      </c>
      <c r="B44" s="57"/>
      <c r="C44" s="57"/>
      <c r="D44" s="57"/>
      <c r="E44" s="57"/>
      <c r="F44" s="57"/>
      <c r="G44" s="57"/>
      <c r="H44" s="57"/>
      <c r="I44" s="57"/>
      <c r="J44" s="57">
        <f>+J43-J31</f>
        <v>0</v>
      </c>
      <c r="K44" s="57">
        <f t="shared" ref="K44:N44" si="46">+K43-K31</f>
        <v>0</v>
      </c>
      <c r="L44" s="57">
        <f t="shared" si="46"/>
        <v>0</v>
      </c>
      <c r="M44" s="57">
        <f t="shared" si="46"/>
        <v>0</v>
      </c>
      <c r="N44" s="57">
        <f t="shared" si="46"/>
        <v>0</v>
      </c>
      <c r="O44" s="57"/>
    </row>
    <row r="45" spans="1:18" x14ac:dyDescent="0.2">
      <c r="A45" s="55" t="s">
        <v>184</v>
      </c>
      <c r="B45" s="75">
        <v>2015</v>
      </c>
      <c r="C45" s="75">
        <v>2016</v>
      </c>
      <c r="D45" s="75">
        <v>2017</v>
      </c>
      <c r="E45" s="75">
        <v>2018</v>
      </c>
      <c r="F45" s="75">
        <v>2019</v>
      </c>
      <c r="G45" s="75">
        <v>2020</v>
      </c>
      <c r="H45" s="75">
        <v>2021</v>
      </c>
      <c r="I45" s="75">
        <v>2022</v>
      </c>
      <c r="J45" s="38"/>
      <c r="K45" s="38"/>
      <c r="L45" s="38"/>
      <c r="M45" s="38"/>
      <c r="N45" s="38"/>
      <c r="O45" s="38"/>
    </row>
    <row r="46" spans="1:18" x14ac:dyDescent="0.2">
      <c r="A46" s="1" t="s">
        <v>134</v>
      </c>
      <c r="B46" s="9">
        <f>'Segmental forecast'!B11</f>
        <v>4233</v>
      </c>
      <c r="C46" s="9">
        <f>'Segmental forecast'!C11</f>
        <v>4642</v>
      </c>
      <c r="D46" s="9">
        <f>'Segmental forecast'!D11</f>
        <v>4305</v>
      </c>
      <c r="E46" s="9">
        <f>'Segmental forecast'!E11</f>
        <v>3529</v>
      </c>
      <c r="F46" s="9">
        <f>'Segmental forecast'!F11</f>
        <v>3853</v>
      </c>
      <c r="G46" s="9">
        <f>'Segmental forecast'!G11</f>
        <v>2088</v>
      </c>
      <c r="H46" s="9">
        <f>'Segmental forecast'!H11</f>
        <v>5697</v>
      </c>
      <c r="I46" s="9">
        <f>'Segmental forecast'!I11</f>
        <v>5234</v>
      </c>
      <c r="J46" s="9">
        <f>J7</f>
        <v>6823.5633470848052</v>
      </c>
      <c r="K46" s="9">
        <f>K7</f>
        <v>7479.3928253581589</v>
      </c>
      <c r="L46" s="9">
        <f>L7</f>
        <v>8261.4144976513453</v>
      </c>
      <c r="M46" s="9">
        <f>M7</f>
        <v>9193.0287023492729</v>
      </c>
      <c r="N46" s="9">
        <f>N7</f>
        <v>10302.531593270602</v>
      </c>
      <c r="O46" s="9"/>
    </row>
    <row r="47" spans="1:18" x14ac:dyDescent="0.2">
      <c r="A47" t="s">
        <v>132</v>
      </c>
      <c r="B47" s="58">
        <f>'Segmental forecast'!B8</f>
        <v>606</v>
      </c>
      <c r="C47" s="58">
        <f>'Segmental forecast'!C8</f>
        <v>669</v>
      </c>
      <c r="D47" s="58">
        <f>'Segmental forecast'!D8</f>
        <v>711</v>
      </c>
      <c r="E47" s="58">
        <f>'Segmental forecast'!E8</f>
        <v>741</v>
      </c>
      <c r="F47" s="58">
        <f>'Segmental forecast'!F8</f>
        <v>699</v>
      </c>
      <c r="G47" s="58">
        <f>'Segmental forecast'!G8</f>
        <v>716</v>
      </c>
      <c r="H47" s="58">
        <f>'Segmental forecast'!H8</f>
        <v>755</v>
      </c>
      <c r="I47" s="58">
        <f>'Segmental forecast'!I8</f>
        <v>731</v>
      </c>
      <c r="J47" s="51">
        <f>'Segmental forecast'!J8</f>
        <v>1019.4537529151939</v>
      </c>
      <c r="K47" s="51">
        <f>'Segmental forecast'!K8</f>
        <v>1115.2269526418379</v>
      </c>
      <c r="L47" s="51">
        <f>'Segmental forecast'!L8</f>
        <v>1224.8812915886529</v>
      </c>
      <c r="M47" s="51">
        <f>'Segmental forecast'!M8</f>
        <v>1350.6548389099207</v>
      </c>
      <c r="N47" s="51">
        <f>'Segmental forecast'!N8</f>
        <v>1495.1979248177279</v>
      </c>
      <c r="O47" s="51"/>
    </row>
    <row r="48" spans="1:18" x14ac:dyDescent="0.2">
      <c r="A48" t="s">
        <v>185</v>
      </c>
      <c r="B48" s="3">
        <f>Historicals!B105</f>
        <v>1262</v>
      </c>
      <c r="C48" s="3">
        <f>Historicals!C105</f>
        <v>748</v>
      </c>
      <c r="D48" s="3">
        <f>Historicals!D105</f>
        <v>703</v>
      </c>
      <c r="E48" s="3">
        <f>Historicals!E105</f>
        <v>529</v>
      </c>
      <c r="F48" s="3">
        <f>Historicals!F105</f>
        <v>757</v>
      </c>
      <c r="G48" s="3">
        <f>Historicals!G105</f>
        <v>1028</v>
      </c>
      <c r="H48" s="3">
        <f>Historicals!H105</f>
        <v>1177</v>
      </c>
      <c r="I48" s="3">
        <f>Historicals!I105</f>
        <v>1231</v>
      </c>
      <c r="J48" s="51">
        <f>J12</f>
        <v>570.85816797305654</v>
      </c>
      <c r="K48" s="51">
        <f t="shared" ref="K48:N48" si="47">K12</f>
        <v>631.62710622233442</v>
      </c>
      <c r="L48" s="51">
        <f t="shared" si="47"/>
        <v>706.95551949635137</v>
      </c>
      <c r="M48" s="51">
        <f t="shared" si="47"/>
        <v>795.14257919060833</v>
      </c>
      <c r="N48" s="51">
        <f t="shared" si="47"/>
        <v>898.48098128504591</v>
      </c>
      <c r="O48" s="51"/>
    </row>
    <row r="49" spans="1:16" x14ac:dyDescent="0.2">
      <c r="A49" s="1" t="s">
        <v>186</v>
      </c>
      <c r="B49" s="9">
        <f>B46-B48</f>
        <v>2971</v>
      </c>
      <c r="C49" s="9">
        <f t="shared" ref="C49:I49" si="48">C46-C48</f>
        <v>3894</v>
      </c>
      <c r="D49" s="9">
        <f t="shared" si="48"/>
        <v>3602</v>
      </c>
      <c r="E49" s="9">
        <f t="shared" si="48"/>
        <v>3000</v>
      </c>
      <c r="F49" s="9">
        <f t="shared" si="48"/>
        <v>3096</v>
      </c>
      <c r="G49" s="9">
        <f t="shared" si="48"/>
        <v>1060</v>
      </c>
      <c r="H49" s="9">
        <f t="shared" si="48"/>
        <v>4520</v>
      </c>
      <c r="I49" s="9">
        <f t="shared" si="48"/>
        <v>4003</v>
      </c>
      <c r="J49" s="9">
        <f t="shared" ref="J49" si="49">J46-J48</f>
        <v>6252.7051791117483</v>
      </c>
      <c r="K49" s="9">
        <f t="shared" ref="K49" si="50">K46-K48</f>
        <v>6847.7657191358248</v>
      </c>
      <c r="L49" s="9">
        <f t="shared" ref="L49" si="51">L46-L48</f>
        <v>7554.4589781549939</v>
      </c>
      <c r="M49" s="9">
        <f t="shared" ref="M49" si="52">M46-M48</f>
        <v>8397.8861231586652</v>
      </c>
      <c r="N49" s="9">
        <f t="shared" ref="N49" si="53">N46-N48</f>
        <v>9404.0506119855563</v>
      </c>
      <c r="O49" s="9"/>
    </row>
    <row r="50" spans="1:16" x14ac:dyDescent="0.2">
      <c r="A50" t="s">
        <v>187</v>
      </c>
      <c r="B50" s="3">
        <f>Historicals!B104</f>
        <v>53</v>
      </c>
      <c r="C50" s="3">
        <f>Historicals!C104</f>
        <v>70</v>
      </c>
      <c r="D50" s="3">
        <f>Historicals!D104</f>
        <v>98</v>
      </c>
      <c r="E50" s="3">
        <f>Historicals!E104</f>
        <v>125</v>
      </c>
      <c r="F50" s="3">
        <f>Historicals!F104</f>
        <v>153</v>
      </c>
      <c r="G50" s="3">
        <f>Historicals!G104</f>
        <v>140</v>
      </c>
      <c r="H50" s="3">
        <f>Historicals!H104</f>
        <v>293</v>
      </c>
      <c r="I50" s="3">
        <f>Historicals!I104</f>
        <v>290</v>
      </c>
      <c r="J50" s="3">
        <f>J67*J13</f>
        <v>814.53</v>
      </c>
      <c r="K50" s="3">
        <f t="shared" ref="K50:N50" si="54">K67*K13</f>
        <v>830.68644407042825</v>
      </c>
      <c r="L50" s="3">
        <f t="shared" si="54"/>
        <v>819.77745032133134</v>
      </c>
      <c r="M50" s="3">
        <f t="shared" si="54"/>
        <v>823.10681613234294</v>
      </c>
      <c r="N50" s="3">
        <f t="shared" si="54"/>
        <v>844.83705342801284</v>
      </c>
      <c r="O50" s="3"/>
    </row>
    <row r="51" spans="1:16" x14ac:dyDescent="0.2">
      <c r="A51" t="s">
        <v>188</v>
      </c>
      <c r="B51" s="3">
        <v>113</v>
      </c>
      <c r="C51" s="3">
        <f t="shared" ref="C51:N51" si="55">B23-C23</f>
        <v>-324</v>
      </c>
      <c r="D51" s="3">
        <f t="shared" si="55"/>
        <v>-796</v>
      </c>
      <c r="E51" s="3">
        <f t="shared" si="55"/>
        <v>204</v>
      </c>
      <c r="F51" s="3">
        <f t="shared" si="55"/>
        <v>-802</v>
      </c>
      <c r="G51" s="3">
        <f t="shared" si="55"/>
        <v>-586</v>
      </c>
      <c r="H51" s="3">
        <f t="shared" si="55"/>
        <v>-613</v>
      </c>
      <c r="I51" s="3">
        <f t="shared" si="55"/>
        <v>-1248</v>
      </c>
      <c r="J51" s="3">
        <f t="shared" si="55"/>
        <v>-500.98200000000179</v>
      </c>
      <c r="K51" s="3">
        <f t="shared" si="55"/>
        <v>-1017.6415599999982</v>
      </c>
      <c r="L51" s="3">
        <f t="shared" si="55"/>
        <v>-1182.8198528000012</v>
      </c>
      <c r="M51" s="3">
        <f t="shared" si="55"/>
        <v>-1376.7021228640006</v>
      </c>
      <c r="N51" s="3">
        <f t="shared" si="55"/>
        <v>-1604.9614915983166</v>
      </c>
      <c r="O51" s="3"/>
    </row>
    <row r="52" spans="1:16" x14ac:dyDescent="0.2">
      <c r="A52" t="s">
        <v>135</v>
      </c>
      <c r="B52" s="3">
        <f>'Segmental forecast'!B14*-1</f>
        <v>-963</v>
      </c>
      <c r="C52" s="3">
        <f>'Segmental forecast'!C14*-1</f>
        <v>-1143</v>
      </c>
      <c r="D52" s="3">
        <f>'Segmental forecast'!D14*-1</f>
        <v>-1105</v>
      </c>
      <c r="E52" s="3">
        <f>'Segmental forecast'!E14*-1</f>
        <v>-1028</v>
      </c>
      <c r="F52" s="3">
        <f>'Segmental forecast'!F14*-1</f>
        <v>-1119</v>
      </c>
      <c r="G52" s="3">
        <f>'Segmental forecast'!G14*-1</f>
        <v>-1086</v>
      </c>
      <c r="H52" s="3">
        <f>'Segmental forecast'!H14*-1</f>
        <v>-695</v>
      </c>
      <c r="I52" s="3">
        <f>'Segmental forecast'!I14*-1</f>
        <v>-758</v>
      </c>
      <c r="J52" s="3">
        <f>'Segmental forecast'!J14*-1</f>
        <v>-877.06778701753126</v>
      </c>
      <c r="K52" s="3">
        <f>'Segmental forecast'!K14*-1</f>
        <v>-967.06093458273665</v>
      </c>
      <c r="L52" s="3">
        <f>'Segmental forecast'!L14*-1</f>
        <v>-1070.2781009751459</v>
      </c>
      <c r="M52" s="3">
        <f>'Segmental forecast'!M14*-1</f>
        <v>-1188.8255319086113</v>
      </c>
      <c r="N52" s="3">
        <f>'Segmental forecast'!N14*-1</f>
        <v>-1325.191723307873</v>
      </c>
      <c r="O52" s="3"/>
    </row>
    <row r="53" spans="1:16" x14ac:dyDescent="0.2">
      <c r="A53" s="1" t="s">
        <v>189</v>
      </c>
      <c r="B53" s="9">
        <f>(B47+B49)-(B52-B51)</f>
        <v>4653</v>
      </c>
      <c r="C53" s="9">
        <f t="shared" ref="C53:N53" si="56">(C47+C49)-(C52-C51)</f>
        <v>5382</v>
      </c>
      <c r="D53" s="9">
        <f t="shared" si="56"/>
        <v>4622</v>
      </c>
      <c r="E53" s="9">
        <f t="shared" si="56"/>
        <v>4973</v>
      </c>
      <c r="F53" s="9">
        <f t="shared" si="56"/>
        <v>4112</v>
      </c>
      <c r="G53" s="9">
        <f t="shared" si="56"/>
        <v>2276</v>
      </c>
      <c r="H53" s="9">
        <f t="shared" si="56"/>
        <v>5357</v>
      </c>
      <c r="I53" s="9">
        <f t="shared" si="56"/>
        <v>4244</v>
      </c>
      <c r="J53" s="9">
        <f t="shared" si="56"/>
        <v>7648.2447190444718</v>
      </c>
      <c r="K53" s="9">
        <f t="shared" si="56"/>
        <v>7912.4120463604013</v>
      </c>
      <c r="L53" s="9">
        <f t="shared" si="56"/>
        <v>8666.7985179187908</v>
      </c>
      <c r="M53" s="9">
        <f t="shared" si="56"/>
        <v>9560.6643711131965</v>
      </c>
      <c r="N53" s="9">
        <f t="shared" si="56"/>
        <v>10619.478768512841</v>
      </c>
      <c r="O53" s="9"/>
    </row>
    <row r="54" spans="1:16" x14ac:dyDescent="0.2">
      <c r="A54" t="s">
        <v>190</v>
      </c>
      <c r="B54" s="3">
        <f>Historicals!B76-B49-B51-B47</f>
        <v>990</v>
      </c>
      <c r="C54" s="3">
        <f>Historicals!C76-C49-C51-C47</f>
        <v>-1143</v>
      </c>
      <c r="D54" s="3">
        <f>Historicals!D76-D49-D51-D47</f>
        <v>123</v>
      </c>
      <c r="E54" s="3">
        <f>Historicals!E76-E49-E51-E47</f>
        <v>1010</v>
      </c>
      <c r="F54" s="3">
        <f>Historicals!F76-F49-F51-F47</f>
        <v>2910</v>
      </c>
      <c r="G54" s="3">
        <f>Historicals!G76-G49-G51-G47</f>
        <v>1295</v>
      </c>
      <c r="H54" s="3">
        <f>Historicals!H76-H49-H51-H47</f>
        <v>1995</v>
      </c>
      <c r="I54" s="3">
        <f>Historicals!I76-I49-I51-I47</f>
        <v>1702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/>
    </row>
    <row r="55" spans="1:16" x14ac:dyDescent="0.2">
      <c r="A55" s="27" t="s">
        <v>191</v>
      </c>
      <c r="B55" s="26">
        <f>B49+B51+B47+B54</f>
        <v>4680</v>
      </c>
      <c r="C55" s="26">
        <f t="shared" ref="C55:I55" si="57">C49+C51+C47+C54</f>
        <v>3096</v>
      </c>
      <c r="D55" s="26">
        <f t="shared" si="57"/>
        <v>3640</v>
      </c>
      <c r="E55" s="26">
        <f t="shared" si="57"/>
        <v>4955</v>
      </c>
      <c r="F55" s="26">
        <f t="shared" si="57"/>
        <v>5903</v>
      </c>
      <c r="G55" s="26">
        <f t="shared" si="57"/>
        <v>2485</v>
      </c>
      <c r="H55" s="26">
        <f t="shared" si="57"/>
        <v>6657</v>
      </c>
      <c r="I55" s="26">
        <f t="shared" si="57"/>
        <v>5188</v>
      </c>
      <c r="J55" s="26">
        <f>J49+J51+J47+J54</f>
        <v>6771.1769320269404</v>
      </c>
      <c r="K55" s="26">
        <f t="shared" ref="K55" si="58">K49+K51+K47+K54</f>
        <v>6945.3511117776643</v>
      </c>
      <c r="L55" s="26">
        <f t="shared" ref="L55" si="59">L49+L51+L47+L54</f>
        <v>7596.5204169436456</v>
      </c>
      <c r="M55" s="26">
        <f t="shared" ref="M55" si="60">M49+M51+M47+M54</f>
        <v>8371.8388392045854</v>
      </c>
      <c r="N55" s="26">
        <f t="shared" ref="N55" si="61">N49+N51+N47+N54</f>
        <v>9294.2870452049683</v>
      </c>
      <c r="O55" s="40"/>
    </row>
    <row r="56" spans="1:16" x14ac:dyDescent="0.2">
      <c r="A56" t="s">
        <v>192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6" x14ac:dyDescent="0.2">
      <c r="A57" t="s">
        <v>193</v>
      </c>
      <c r="B57" s="3">
        <f>Historicals!B84+Historicals!B78+Historicals!B79+Historicals!B80+Historicals!B81+Historicals!B83</f>
        <v>788</v>
      </c>
      <c r="C57" s="3">
        <f>Historicals!C84+Historicals!C78+Historicals!C79+Historicals!C80+Historicals!C81+Historicals!C83</f>
        <v>109</v>
      </c>
      <c r="D57" s="3">
        <f>Historicals!D84+Historicals!D78+Historicals!D79+Historicals!D80+Historicals!D81+Historicals!D83</f>
        <v>97</v>
      </c>
      <c r="E57" s="3">
        <f>Historicals!E84+Historicals!E78+Historicals!E79+Historicals!E80+Historicals!E81+Historicals!E83</f>
        <v>1304</v>
      </c>
      <c r="F57" s="3">
        <f>Historicals!F84+Historicals!F78+Historicals!F79+Historicals!F80+Historicals!F81+Historicals!F83</f>
        <v>855</v>
      </c>
      <c r="G57" s="3">
        <f>Historicals!G84+Historicals!G78+Historicals!G79+Historicals!G80+Historicals!G81+Historicals!G83</f>
        <v>58</v>
      </c>
      <c r="H57" s="3">
        <f>Historicals!H84+Historicals!H78+Historicals!H79+Historicals!H80+Historicals!H81+Historicals!H83</f>
        <v>-3105</v>
      </c>
      <c r="I57" s="3">
        <f>Historicals!I84+Historicals!I78+Historicals!I79+Historicals!I80+Historicals!I81+Historicals!I83</f>
        <v>-766</v>
      </c>
      <c r="J57" s="3"/>
      <c r="K57" s="3"/>
      <c r="L57" s="3"/>
      <c r="M57" s="3"/>
      <c r="N57" s="3"/>
      <c r="O57" s="3"/>
    </row>
    <row r="58" spans="1:16" x14ac:dyDescent="0.2">
      <c r="A58" s="27" t="s">
        <v>194</v>
      </c>
      <c r="B58" s="73">
        <f>B57+B56+B52</f>
        <v>-175</v>
      </c>
      <c r="C58" s="73">
        <f t="shared" ref="C58:I58" si="62">C57+C56+C52</f>
        <v>-1034</v>
      </c>
      <c r="D58" s="73">
        <f t="shared" si="62"/>
        <v>-1008</v>
      </c>
      <c r="E58" s="73">
        <f t="shared" si="62"/>
        <v>276</v>
      </c>
      <c r="F58" s="73">
        <f t="shared" si="62"/>
        <v>-264</v>
      </c>
      <c r="G58" s="73">
        <f t="shared" si="62"/>
        <v>-1028</v>
      </c>
      <c r="H58" s="73">
        <f t="shared" si="62"/>
        <v>-3800</v>
      </c>
      <c r="I58" s="73">
        <f t="shared" si="62"/>
        <v>-1524</v>
      </c>
      <c r="J58" s="76">
        <f t="shared" ref="J58:N58" si="63">J57+J56+J52-J50</f>
        <v>-1691.5977870175311</v>
      </c>
      <c r="K58" s="76">
        <f t="shared" si="63"/>
        <v>-1797.747378653165</v>
      </c>
      <c r="L58" s="76">
        <f t="shared" si="63"/>
        <v>-1890.0555512964772</v>
      </c>
      <c r="M58" s="76">
        <f t="shared" si="63"/>
        <v>-2011.9323480409544</v>
      </c>
      <c r="N58" s="76">
        <f t="shared" si="63"/>
        <v>-2170.0287767358859</v>
      </c>
      <c r="O58" s="40"/>
      <c r="P58" t="s">
        <v>226</v>
      </c>
    </row>
    <row r="59" spans="1:16" x14ac:dyDescent="0.2">
      <c r="A59" t="s">
        <v>195</v>
      </c>
      <c r="B59" s="3">
        <f>Historicals!B93+Historicals!B91</f>
        <v>-2020</v>
      </c>
      <c r="C59" s="3">
        <f>Historicals!C93+Historicals!C91</f>
        <v>-2731</v>
      </c>
      <c r="D59" s="3">
        <f>Historicals!D93+Historicals!D91</f>
        <v>-2734</v>
      </c>
      <c r="E59" s="3">
        <f>Historicals!E93+Historicals!E91</f>
        <v>-3521</v>
      </c>
      <c r="F59" s="3">
        <f>Historicals!F93+Historicals!F91</f>
        <v>-3586</v>
      </c>
      <c r="G59" s="3">
        <f>Historicals!G93+Historicals!G91</f>
        <v>-2182</v>
      </c>
      <c r="H59" s="3">
        <f>Historicals!H93+Historicals!H91</f>
        <v>564</v>
      </c>
      <c r="I59" s="3">
        <f>Historicals!I93+Historicals!I91</f>
        <v>-2863</v>
      </c>
      <c r="J59" s="3">
        <f>I59+(I59*J60)</f>
        <v>-3006.15</v>
      </c>
      <c r="K59" s="3">
        <f t="shared" ref="K59:N59" si="64">J59+(J59*K60)</f>
        <v>-3156.4575</v>
      </c>
      <c r="L59" s="3">
        <f t="shared" si="64"/>
        <v>-3314.2803749999998</v>
      </c>
      <c r="M59" s="3">
        <f t="shared" si="64"/>
        <v>-3479.9943937499997</v>
      </c>
      <c r="N59" s="3">
        <f t="shared" si="64"/>
        <v>-3653.9941134374999</v>
      </c>
      <c r="O59" s="3"/>
    </row>
    <row r="60" spans="1:16" x14ac:dyDescent="0.2">
      <c r="A60" s="52" t="s">
        <v>129</v>
      </c>
      <c r="B60" s="53">
        <v>0</v>
      </c>
      <c r="C60" s="53">
        <f>+IFERROR(C59/B59-1,"nm")*-1</f>
        <v>-0.35198019801980207</v>
      </c>
      <c r="D60" s="53">
        <f t="shared" ref="D60:I60" si="65">+IFERROR(D59/C59-1,"nm")*-1</f>
        <v>-1.0984987184181616E-3</v>
      </c>
      <c r="E60" s="53">
        <f t="shared" si="65"/>
        <v>-0.28785662033650339</v>
      </c>
      <c r="F60" s="53">
        <f t="shared" si="65"/>
        <v>-1.8460664583924924E-2</v>
      </c>
      <c r="G60" s="53">
        <f t="shared" si="65"/>
        <v>0.39152258784160621</v>
      </c>
      <c r="H60" s="53">
        <f t="shared" si="65"/>
        <v>1.2584784601283228</v>
      </c>
      <c r="I60" s="53">
        <f t="shared" si="65"/>
        <v>6.0762411347517729</v>
      </c>
      <c r="J60" s="53">
        <v>0.05</v>
      </c>
      <c r="K60" s="53">
        <v>0.05</v>
      </c>
      <c r="L60" s="53">
        <v>0.05</v>
      </c>
      <c r="M60" s="53">
        <v>0.05</v>
      </c>
      <c r="N60" s="53">
        <v>0.05</v>
      </c>
      <c r="O60" s="53"/>
    </row>
    <row r="61" spans="1:16" x14ac:dyDescent="0.2">
      <c r="A61" t="s">
        <v>196</v>
      </c>
      <c r="B61" s="3">
        <f>Historicals!B94</f>
        <v>-899</v>
      </c>
      <c r="C61" s="3">
        <f>Historicals!C94</f>
        <v>-1022</v>
      </c>
      <c r="D61" s="3">
        <f>Historicals!D94</f>
        <v>-1133</v>
      </c>
      <c r="E61" s="3">
        <f>Historicals!E94</f>
        <v>-1243</v>
      </c>
      <c r="F61" s="3">
        <f>Historicals!F94</f>
        <v>-1332</v>
      </c>
      <c r="G61" s="3">
        <f>Historicals!G94</f>
        <v>-1452</v>
      </c>
      <c r="H61" s="3">
        <f>Historicals!H94</f>
        <v>-1638</v>
      </c>
      <c r="I61" s="3">
        <f>Historicals!I94</f>
        <v>-1837</v>
      </c>
      <c r="J61" s="3">
        <f>J17*J15*-1</f>
        <v>-1903.3613126891119</v>
      </c>
      <c r="K61" s="3">
        <f>K17*K15*-1</f>
        <v>-2105.9777462728885</v>
      </c>
      <c r="L61" s="3">
        <f>L17*L15*-1</f>
        <v>-2357.1385347417818</v>
      </c>
      <c r="M61" s="3">
        <f>M17*M15*-1</f>
        <v>-2651.1727574592119</v>
      </c>
      <c r="N61" s="3">
        <f>N17*N15*-1</f>
        <v>-2995.7247454951403</v>
      </c>
      <c r="O61" s="3"/>
    </row>
    <row r="62" spans="1:16" x14ac:dyDescent="0.2">
      <c r="A62" t="s">
        <v>197</v>
      </c>
      <c r="B62" s="3">
        <f>Historicals!B87+Historicals!B89+Historicals!B90+Historicals!B92+Historicals!B88</f>
        <v>129</v>
      </c>
      <c r="C62" s="3">
        <f>Historicals!C87+Historicals!C89+Historicals!C90+Historicals!C92+Historicals!C88</f>
        <v>1082</v>
      </c>
      <c r="D62" s="3">
        <f>Historicals!D87+Historicals!D89+Historicals!D90+Historicals!D92+Historicals!D88</f>
        <v>1925</v>
      </c>
      <c r="E62" s="3">
        <f>Historicals!E87+Historicals!E89+Historicals!E90+Historicals!E92+Historicals!E88</f>
        <v>-16</v>
      </c>
      <c r="F62" s="3">
        <f>Historicals!F87+Historicals!F89+Historicals!F90+Historicals!F92+Historicals!F88</f>
        <v>-331</v>
      </c>
      <c r="G62" s="3">
        <f>Historicals!G87+Historicals!G89+Historicals!G90+Historicals!G92+Historicals!G88</f>
        <v>6177</v>
      </c>
      <c r="H62" s="3">
        <f>Historicals!H87+Historicals!H89+Historicals!H90+Historicals!H92+Historicals!H88</f>
        <v>-249</v>
      </c>
      <c r="I62" s="3">
        <f>Historicals!I87+Historicals!I89+Historicals!I90+Historicals!I92+Historicals!I88</f>
        <v>15</v>
      </c>
      <c r="J62" s="77"/>
      <c r="K62" s="77"/>
      <c r="L62" s="77"/>
      <c r="M62" s="77"/>
      <c r="N62" s="77"/>
      <c r="O62" s="3" t="s">
        <v>230</v>
      </c>
      <c r="P62" t="s">
        <v>227</v>
      </c>
    </row>
    <row r="63" spans="1:16" x14ac:dyDescent="0.2">
      <c r="A63" t="s">
        <v>198</v>
      </c>
      <c r="B63" s="3">
        <f>Historicals!B95</f>
        <v>0</v>
      </c>
      <c r="C63" s="3">
        <f>Historicals!C95</f>
        <v>0</v>
      </c>
      <c r="D63" s="3">
        <f>Historicals!D95</f>
        <v>0</v>
      </c>
      <c r="E63" s="3">
        <f>Historicals!E95</f>
        <v>-55</v>
      </c>
      <c r="F63" s="3">
        <f>Historicals!F95</f>
        <v>-44</v>
      </c>
      <c r="G63" s="3">
        <f>Historicals!G95</f>
        <v>-52</v>
      </c>
      <c r="H63" s="3">
        <f>Historicals!H95</f>
        <v>-136</v>
      </c>
      <c r="I63" s="3">
        <f>Historicals!I95</f>
        <v>-151</v>
      </c>
      <c r="J63" s="77"/>
      <c r="K63" s="77"/>
      <c r="L63" s="77"/>
      <c r="M63" s="77"/>
      <c r="N63" s="77"/>
      <c r="O63" s="3" t="s">
        <v>230</v>
      </c>
      <c r="P63" t="s">
        <v>227</v>
      </c>
    </row>
    <row r="64" spans="1:16" x14ac:dyDescent="0.2">
      <c r="A64" s="27" t="s">
        <v>199</v>
      </c>
      <c r="B64" s="26">
        <f>B59+B61+B62+B63</f>
        <v>-2790</v>
      </c>
      <c r="C64" s="26">
        <f t="shared" ref="C64:I64" si="66">C59+C61+C62+C63</f>
        <v>-2671</v>
      </c>
      <c r="D64" s="26">
        <f t="shared" si="66"/>
        <v>-1942</v>
      </c>
      <c r="E64" s="26">
        <f t="shared" si="66"/>
        <v>-4835</v>
      </c>
      <c r="F64" s="26">
        <f t="shared" si="66"/>
        <v>-5293</v>
      </c>
      <c r="G64" s="26">
        <f t="shared" si="66"/>
        <v>2491</v>
      </c>
      <c r="H64" s="26">
        <f t="shared" si="66"/>
        <v>-1459</v>
      </c>
      <c r="I64" s="26">
        <f t="shared" si="66"/>
        <v>-4836</v>
      </c>
      <c r="J64" s="26">
        <f t="shared" ref="J64" si="67">J59+J61+J62+J63</f>
        <v>-4909.5113126891119</v>
      </c>
      <c r="K64" s="26">
        <f t="shared" ref="K64" si="68">K59+K61+K62+K63</f>
        <v>-5262.4352462728884</v>
      </c>
      <c r="L64" s="26">
        <f t="shared" ref="L64" si="69">L59+L61+L62+L63</f>
        <v>-5671.418909741782</v>
      </c>
      <c r="M64" s="26">
        <f t="shared" ref="M64" si="70">M59+M61+M62+M63</f>
        <v>-6131.1671512092116</v>
      </c>
      <c r="N64" s="26">
        <f t="shared" ref="N64" si="71">N59+N61+N62+N63</f>
        <v>-6649.7188589326397</v>
      </c>
      <c r="O64" s="40"/>
    </row>
    <row r="65" spans="1:18" x14ac:dyDescent="0.2">
      <c r="A65" t="s">
        <v>200</v>
      </c>
      <c r="B65" s="3">
        <f>Historicals!B97</f>
        <v>-83</v>
      </c>
      <c r="C65" s="3">
        <f>Historicals!C97</f>
        <v>-105</v>
      </c>
      <c r="D65" s="3">
        <f>Historicals!D97</f>
        <v>-20</v>
      </c>
      <c r="E65" s="3">
        <f>Historicals!E97</f>
        <v>45</v>
      </c>
      <c r="F65" s="3">
        <f>Historicals!F97</f>
        <v>-129</v>
      </c>
      <c r="G65" s="3">
        <f>Historicals!G97</f>
        <v>-66</v>
      </c>
      <c r="H65" s="3">
        <f>Historicals!H97</f>
        <v>143</v>
      </c>
      <c r="I65" s="3">
        <f>Historicals!I97</f>
        <v>-143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 t="s">
        <v>229</v>
      </c>
    </row>
    <row r="66" spans="1:18" x14ac:dyDescent="0.2">
      <c r="A66" s="27" t="s">
        <v>201</v>
      </c>
      <c r="B66" s="26">
        <f>B55+B58+B64+B65</f>
        <v>1632</v>
      </c>
      <c r="C66" s="26">
        <f t="shared" ref="C66:H66" si="72">C55+C58+C64+C65</f>
        <v>-714</v>
      </c>
      <c r="D66" s="26">
        <f t="shared" si="72"/>
        <v>670</v>
      </c>
      <c r="E66" s="26">
        <f t="shared" si="72"/>
        <v>441</v>
      </c>
      <c r="F66" s="26">
        <f t="shared" si="72"/>
        <v>217</v>
      </c>
      <c r="G66" s="26">
        <f t="shared" si="72"/>
        <v>3882</v>
      </c>
      <c r="H66" s="26">
        <f t="shared" si="72"/>
        <v>1541</v>
      </c>
      <c r="I66" s="26">
        <f>I55+I58+I64+I65</f>
        <v>-1315</v>
      </c>
      <c r="J66" s="26">
        <f>J55+J58+J64+J65</f>
        <v>170.06783232029738</v>
      </c>
      <c r="K66" s="26">
        <f t="shared" ref="K66" si="73">K55+K58+K64+K65</f>
        <v>-114.8315131483896</v>
      </c>
      <c r="L66" s="26">
        <f t="shared" ref="L66" si="74">L55+L58+L64+L65</f>
        <v>35.045955905386108</v>
      </c>
      <c r="M66" s="26">
        <f t="shared" ref="M66" si="75">M55+M58+M64+M65</f>
        <v>228.73933995441894</v>
      </c>
      <c r="N66" s="26">
        <f t="shared" ref="N66" si="76">N55+N58+N64+N65</f>
        <v>474.53940953644269</v>
      </c>
      <c r="O66" s="40"/>
    </row>
    <row r="67" spans="1:18" x14ac:dyDescent="0.2">
      <c r="A67" t="s">
        <v>202</v>
      </c>
      <c r="B67" s="3">
        <f>Historicals!B99</f>
        <v>2220</v>
      </c>
      <c r="C67" s="3">
        <f>B68</f>
        <v>3852</v>
      </c>
      <c r="D67" s="3">
        <f t="shared" ref="D67:N67" si="77">C68</f>
        <v>3138</v>
      </c>
      <c r="E67" s="3">
        <f t="shared" si="77"/>
        <v>3808</v>
      </c>
      <c r="F67" s="3">
        <f t="shared" si="77"/>
        <v>4249</v>
      </c>
      <c r="G67" s="3">
        <f t="shared" si="77"/>
        <v>4466</v>
      </c>
      <c r="H67" s="3">
        <f t="shared" si="77"/>
        <v>8348</v>
      </c>
      <c r="I67" s="3">
        <f t="shared" si="77"/>
        <v>9889</v>
      </c>
      <c r="J67" s="3">
        <f t="shared" si="77"/>
        <v>8574</v>
      </c>
      <c r="K67" s="3">
        <f t="shared" si="77"/>
        <v>8744.0678323202974</v>
      </c>
      <c r="L67" s="3">
        <f t="shared" si="77"/>
        <v>8629.2363191719087</v>
      </c>
      <c r="M67" s="3">
        <f t="shared" si="77"/>
        <v>8664.2822750772939</v>
      </c>
      <c r="N67" s="3">
        <f t="shared" si="77"/>
        <v>8893.0216150317137</v>
      </c>
      <c r="O67" s="3"/>
      <c r="R67" s="69"/>
    </row>
    <row r="68" spans="1:18" ht="16" thickBot="1" x14ac:dyDescent="0.25">
      <c r="A68" s="6" t="s">
        <v>203</v>
      </c>
      <c r="B68" s="7">
        <f>Historicals!B100</f>
        <v>3852</v>
      </c>
      <c r="C68" s="7">
        <f>C66+C67</f>
        <v>3138</v>
      </c>
      <c r="D68" s="7">
        <f t="shared" ref="D68:N68" si="78">D66+D67</f>
        <v>3808</v>
      </c>
      <c r="E68" s="7">
        <f t="shared" si="78"/>
        <v>4249</v>
      </c>
      <c r="F68" s="7">
        <f t="shared" si="78"/>
        <v>4466</v>
      </c>
      <c r="G68" s="7">
        <f t="shared" si="78"/>
        <v>8348</v>
      </c>
      <c r="H68" s="7">
        <f t="shared" si="78"/>
        <v>9889</v>
      </c>
      <c r="I68" s="7">
        <f t="shared" si="78"/>
        <v>8574</v>
      </c>
      <c r="J68" s="7">
        <f>J66+J67</f>
        <v>8744.0678323202974</v>
      </c>
      <c r="K68" s="7">
        <f t="shared" si="78"/>
        <v>8629.2363191719087</v>
      </c>
      <c r="L68" s="7">
        <f t="shared" si="78"/>
        <v>8664.2822750772939</v>
      </c>
      <c r="M68" s="7">
        <f t="shared" si="78"/>
        <v>8893.0216150317137</v>
      </c>
      <c r="N68" s="7">
        <f t="shared" si="78"/>
        <v>9367.5610245681564</v>
      </c>
      <c r="O68" s="40"/>
    </row>
    <row r="69" spans="1:18" ht="16" thickTop="1" x14ac:dyDescent="0.2">
      <c r="A69" s="57" t="s">
        <v>183</v>
      </c>
      <c r="B69" s="40">
        <f>+B68-Historicals!B25</f>
        <v>0</v>
      </c>
      <c r="C69" s="40">
        <f>+C68-Historicals!C25</f>
        <v>0</v>
      </c>
      <c r="D69" s="40">
        <f>+D68-Historicals!D25</f>
        <v>0</v>
      </c>
      <c r="E69" s="40">
        <f>+E68-Historicals!E25</f>
        <v>0</v>
      </c>
      <c r="F69" s="40">
        <f>+F68-Historicals!F25</f>
        <v>0</v>
      </c>
      <c r="G69" s="40">
        <f>+G68-Historicals!G25</f>
        <v>0</v>
      </c>
      <c r="H69" s="40">
        <f>+H68-Historicals!H25</f>
        <v>0</v>
      </c>
      <c r="I69" s="40">
        <f>+I68-I21</f>
        <v>0</v>
      </c>
      <c r="J69" s="40"/>
      <c r="K69" s="40"/>
      <c r="L69" s="40"/>
      <c r="M69" s="40"/>
      <c r="N69" s="40"/>
      <c r="O69" s="40"/>
    </row>
    <row r="70" spans="1:18" x14ac:dyDescent="0.2">
      <c r="A70" s="1" t="s">
        <v>204</v>
      </c>
      <c r="B70" s="47"/>
      <c r="C70" s="47"/>
      <c r="D70" s="47"/>
      <c r="E70" s="47"/>
      <c r="F70" s="47"/>
      <c r="G70" s="47"/>
      <c r="H70" s="47"/>
      <c r="I70" s="47"/>
      <c r="J70" s="47">
        <f>J68</f>
        <v>8744.0678323202974</v>
      </c>
      <c r="K70" s="47">
        <f t="shared" ref="K70:N70" si="79">K68</f>
        <v>8629.2363191719087</v>
      </c>
      <c r="L70" s="47">
        <f t="shared" si="79"/>
        <v>8664.2822750772939</v>
      </c>
      <c r="M70" s="47">
        <f t="shared" si="79"/>
        <v>8893.0216150317137</v>
      </c>
      <c r="N70" s="47">
        <f t="shared" si="79"/>
        <v>9367.5610245681564</v>
      </c>
      <c r="O70" s="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8699-78F8-3A44-8509-FF6C0EB41901}">
  <dimension ref="A1:V31"/>
  <sheetViews>
    <sheetView tabSelected="1" workbookViewId="0">
      <selection activeCell="I28" sqref="I28"/>
    </sheetView>
  </sheetViews>
  <sheetFormatPr baseColWidth="10" defaultColWidth="11.5" defaultRowHeight="15" x14ac:dyDescent="0.2"/>
  <cols>
    <col min="10" max="10" width="82.33203125" customWidth="1"/>
  </cols>
  <sheetData>
    <row r="1" spans="1:22" ht="112" x14ac:dyDescent="0.2">
      <c r="A1" s="78" t="s">
        <v>231</v>
      </c>
      <c r="B1" s="16">
        <v>2015</v>
      </c>
      <c r="C1" s="16">
        <f t="shared" ref="C1:U1" si="0">+B1+1</f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f t="shared" si="0"/>
        <v>2022</v>
      </c>
      <c r="J1" s="79" t="s">
        <v>223</v>
      </c>
      <c r="K1" s="79" t="s">
        <v>20</v>
      </c>
      <c r="L1" s="80">
        <f>+I1+1</f>
        <v>2023</v>
      </c>
      <c r="M1" s="80">
        <f t="shared" si="0"/>
        <v>2024</v>
      </c>
      <c r="N1" s="80">
        <f t="shared" si="0"/>
        <v>2025</v>
      </c>
      <c r="O1" s="80">
        <f t="shared" si="0"/>
        <v>2026</v>
      </c>
      <c r="P1" s="80">
        <f t="shared" si="0"/>
        <v>2027</v>
      </c>
      <c r="Q1" s="80">
        <f t="shared" si="0"/>
        <v>2028</v>
      </c>
      <c r="R1" s="80">
        <f t="shared" si="0"/>
        <v>2029</v>
      </c>
      <c r="S1" s="80">
        <f t="shared" si="0"/>
        <v>2030</v>
      </c>
      <c r="T1" s="80">
        <f t="shared" si="0"/>
        <v>2031</v>
      </c>
      <c r="U1" s="80">
        <f t="shared" si="0"/>
        <v>2032</v>
      </c>
      <c r="V1" s="81" t="s">
        <v>232</v>
      </c>
    </row>
    <row r="2" spans="1:22" x14ac:dyDescent="0.2">
      <c r="A2" s="14" t="s">
        <v>233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82"/>
      <c r="R2" s="82"/>
      <c r="S2" s="82"/>
      <c r="T2" s="82"/>
      <c r="U2" s="82"/>
      <c r="V2" s="82"/>
    </row>
    <row r="3" spans="1:22" x14ac:dyDescent="0.2">
      <c r="A3" t="s">
        <v>234</v>
      </c>
      <c r="B3" s="74">
        <f>(46.13+48.56+50.17+49.42+50.83+54.01+57.61+55.88+61.49+65.51+66.14+62.5)/12</f>
        <v>55.6875</v>
      </c>
      <c r="C3" s="74">
        <f>(62.01+61.59+61.47+58.94+55.22+55.2+55.5+57.64+52.65+50.18+50.07+50.83)/12</f>
        <v>55.94166666666667</v>
      </c>
      <c r="D3" s="74">
        <f>(52.9+57.16+55.73+55.41+52.99+59+59.05+52.81+51.85+54.99+60.42+62.55)/12</f>
        <v>56.238333333333323</v>
      </c>
      <c r="E3" s="74">
        <f>(68.22+67.03+66.44+68.39+71.8+79.68+76.91+82.2+84.72+75.04+75.12+74.14)/12</f>
        <v>74.140833333333333</v>
      </c>
      <c r="F3" s="74">
        <f>(81.88+85.73+84.21+87.83+77.14+83.05+86.03+84.5+93.49+101.31)/12</f>
        <v>72.097500000000011</v>
      </c>
      <c r="G3" s="74">
        <f>(96.3+89.83+82.74+87.18+98.58+98.05+97.61+111.89+125.54+120.08+134.7+141.47)/12</f>
        <v>106.9975</v>
      </c>
      <c r="H3" s="74">
        <f>(133.59+132.62+136.46+154.49+167.51+164.74+145.23+167.29+169.24+166.67)/12</f>
        <v>128.15333333333334</v>
      </c>
      <c r="I3" s="74">
        <f>(148.07+136.55+134.56+124.7+118.85+102.2+114.92+106.45+83.12+92.68+109.69+117.01)/12</f>
        <v>115.73333333333335</v>
      </c>
      <c r="L3" s="74"/>
      <c r="M3" s="54"/>
      <c r="N3" s="54"/>
      <c r="O3" s="54"/>
      <c r="P3" s="54"/>
    </row>
    <row r="4" spans="1:22" x14ac:dyDescent="0.2">
      <c r="A4" t="s">
        <v>235</v>
      </c>
      <c r="B4" s="3">
        <f>(B3*('Three Statements'!B33+'Three Statements'!B34+'Three Statements'!B36+'Three Statements'!B37+'Three Statements'!B38)-'Three Statements'!B21)</f>
        <v>148676.0625</v>
      </c>
      <c r="C4" s="3">
        <f>(C3*('Three Statements'!C33+'Three Statements'!C34+'Three Statements'!C36+'Three Statements'!C37+'Three Statements'!C38)-'Three Statements'!C21)</f>
        <v>210838.875</v>
      </c>
      <c r="D4" s="3">
        <f>(D3+'Three Statements'!D33+'Three Statements'!D34+'Three Statements'!D36+'Three Statements'!D37+'Three Statements'!D38)-'Three Statements'!D21</f>
        <v>1957.2383333333328</v>
      </c>
      <c r="E4" s="3">
        <f>(E3*('Three Statements'!E33+'Three Statements'!E34+'Three Statements'!E36+'Three Statements'!E37+'Three Statements'!E38)-'Three Statements'!E21)</f>
        <v>516664.495</v>
      </c>
      <c r="F4" s="3">
        <f>(F3+'Three Statements'!F33+'Three Statements'!F34+'Three Statements'!F36+'Three Statements'!F37+'Three Statements'!F38)-'Three Statements'!F21</f>
        <v>2432.0974999999999</v>
      </c>
      <c r="G4" s="3">
        <f>(G3*('Three Statements'!G33+'Three Statements'!G34+'Three Statements'!G36+'Three Statements'!G37+'Three Statements'!G38)-'Three Statements'!G21)</f>
        <v>1623791.865</v>
      </c>
      <c r="H4" s="3">
        <f>(H3+'Three Statements'!H33+'Three Statements'!H34+'Three Statements'!H36+'Three Statements'!H37+'Three Statements'!H38)-'Three Statements'!H21</f>
        <v>5540.1533333333336</v>
      </c>
      <c r="I4" s="3">
        <f>(I3*('Three Statements'!I33+'Three Statements'!I34+'Three Statements'!I36+'Three Statements'!I37+'Three Statements'!I38)-'Three Statements'!I21)</f>
        <v>1706594.0000000002</v>
      </c>
    </row>
    <row r="5" spans="1:22" x14ac:dyDescent="0.2">
      <c r="A5" t="s">
        <v>236</v>
      </c>
      <c r="B5" s="54">
        <f>B3/'Three Statements'!B16</f>
        <v>29.367933810375671</v>
      </c>
      <c r="C5" s="54">
        <f>C3/'Three Statements'!C16</f>
        <v>25.925094193262414</v>
      </c>
      <c r="D5" s="54">
        <f>D3/'Three Statements'!D16</f>
        <v>22.442278301886788</v>
      </c>
      <c r="E5" s="54">
        <f>E3/'Three Statements'!E16</f>
        <v>63.635311217451282</v>
      </c>
      <c r="F5" s="54">
        <f>F3/'Three Statements'!F16</f>
        <v>28.960683544303802</v>
      </c>
      <c r="G5" s="54">
        <f>G3/'Three Statements'!G16</f>
        <v>67.085198995667596</v>
      </c>
      <c r="H5" s="54">
        <f>H3/'Three Statements'!H16</f>
        <v>36.013615272684945</v>
      </c>
      <c r="I5" s="54">
        <f>I3/'Three Statements'!I16</f>
        <v>30.834147094497741</v>
      </c>
    </row>
    <row r="6" spans="1:22" x14ac:dyDescent="0.2">
      <c r="A6" t="s">
        <v>237</v>
      </c>
      <c r="B6" s="54">
        <f>B3/(('Three Statements'!B40+'Three Statements'!B41+'Three Statements'!B42)/'Three Statements'!B15)</f>
        <v>7.7516368930510735</v>
      </c>
      <c r="C6" s="54">
        <f>C3/(('Three Statements'!C40+'Three Statements'!C41+'Three Statements'!C42)/'Three Statements'!C15)</f>
        <v>7.9522233779300597</v>
      </c>
      <c r="D6" s="54">
        <f>D3/(('Three Statements'!D40+'Three Statements'!D41+'Three Statements'!D42)/'Three Statements'!D15)</f>
        <v>7.6694817441766734</v>
      </c>
      <c r="E6" s="54">
        <f>E3/(('Three Statements'!E40+'Three Statements'!E41+'Three Statements'!E42)/'Three Statements'!E15)</f>
        <v>12.536389786316075</v>
      </c>
      <c r="F6" s="54">
        <f>F3/(('Three Statements'!F40+'Three Statements'!F41+'Three Statements'!F42)/'Three Statements'!F15)</f>
        <v>12.907366592920356</v>
      </c>
      <c r="G6" s="54">
        <f>G3/(('Three Statements'!G40+'Three Statements'!G41+'Three Statements'!G42)/'Three Statements'!G15)</f>
        <v>21.14578774053383</v>
      </c>
      <c r="H6" s="54">
        <f>H3/(('Three Statements'!H40+'Three Statements'!H41+'Three Statements'!H42)/'Three Statements'!H15)</f>
        <v>16.154928696378686</v>
      </c>
      <c r="I6" s="54">
        <f>I3/(('Three Statements'!I40+'Three Statements'!I41+'Three Statements'!I42)/'Three Statements'!I15)</f>
        <v>12.199676286455949</v>
      </c>
    </row>
    <row r="7" spans="1:22" x14ac:dyDescent="0.2">
      <c r="A7" t="s">
        <v>238</v>
      </c>
      <c r="B7" s="54">
        <f>B4/'Three Statements'!B5</f>
        <v>30.724542777433353</v>
      </c>
      <c r="C7" s="54">
        <f>C4/'Three Statements'!C5</f>
        <v>39.698526642816795</v>
      </c>
      <c r="D7" s="54">
        <f>D4/'Three Statements'!D5</f>
        <v>0.39019902977139809</v>
      </c>
      <c r="E7" s="54">
        <f>E4/'Three Statements'!E5</f>
        <v>120.99871077283372</v>
      </c>
      <c r="F7" s="54">
        <f>F4/'Three Statements'!F5</f>
        <v>0.53429206942003515</v>
      </c>
      <c r="G7" s="54">
        <f>G4/'Three Statements'!G5</f>
        <v>579.09838266761767</v>
      </c>
      <c r="H7" s="54">
        <f>H4/'Three Statements'!H5</f>
        <v>0.85867224633188677</v>
      </c>
      <c r="I7" s="54">
        <f>I4/'Three Statements'!I5</f>
        <v>286.10125733445102</v>
      </c>
    </row>
    <row r="8" spans="1:22" x14ac:dyDescent="0.2">
      <c r="A8" t="s">
        <v>239</v>
      </c>
      <c r="B8" s="54">
        <f>B4/'Three Statements'!B53</f>
        <v>31.952732108317214</v>
      </c>
      <c r="C8" s="54">
        <f>C4/'Three Statements'!C53</f>
        <v>39.174818840579711</v>
      </c>
      <c r="D8" s="54">
        <f>D4/'Three Statements'!D53</f>
        <v>0.42346134429539872</v>
      </c>
      <c r="E8" s="54">
        <f>E4/'Three Statements'!E53</f>
        <v>103.89392620148803</v>
      </c>
      <c r="F8" s="54">
        <f>F4/'Three Statements'!F53</f>
        <v>0.59146339980544749</v>
      </c>
      <c r="G8" s="54">
        <f>G4/'Three Statements'!G53</f>
        <v>713.44106546572937</v>
      </c>
      <c r="H8" s="54">
        <f>H4/'Three Statements'!H53</f>
        <v>1.0341895339431275</v>
      </c>
      <c r="I8" s="54">
        <f>I4/'Three Statements'!I53</f>
        <v>402.11922714420365</v>
      </c>
    </row>
    <row r="9" spans="1:22" x14ac:dyDescent="0.2">
      <c r="A9" t="s">
        <v>240</v>
      </c>
      <c r="B9" s="83">
        <f>'Three Statements'!B36/'Three Statements'!B39</f>
        <v>8.4913827024474697E-2</v>
      </c>
      <c r="C9" s="83">
        <f>'Three Statements'!C36/'Three Statements'!C39</f>
        <v>0.16397454723445912</v>
      </c>
      <c r="D9" s="83">
        <f>'Three Statements'!D36/'Three Statements'!D39</f>
        <v>0.27976142500201501</v>
      </c>
      <c r="E9" s="83">
        <f>'Three Statements'!E36/'Three Statements'!E39</f>
        <v>0.35344476151651039</v>
      </c>
      <c r="F9" s="83">
        <f>'Three Statements'!F36/'Three Statements'!F39</f>
        <v>0.38318584070796458</v>
      </c>
      <c r="G9" s="83">
        <f>'Three Statements'!G36/'Three Statements'!G39</f>
        <v>1.1677219118559901</v>
      </c>
      <c r="H9" s="83">
        <f>'Three Statements'!H36/'Three Statements'!H39</f>
        <v>0.73729145453121325</v>
      </c>
      <c r="I9" s="83">
        <f>'Three Statements'!I36/'Three Statements'!I39</f>
        <v>0.58373143118905835</v>
      </c>
    </row>
    <row r="10" spans="1:22" x14ac:dyDescent="0.2">
      <c r="A10" t="s">
        <v>241</v>
      </c>
      <c r="B10" s="83">
        <f>'Three Statements'!B36/('Three Statements'!B36+'Three Statements'!B39)</f>
        <v>7.826780792107936E-2</v>
      </c>
      <c r="C10" s="83">
        <f>'Three Statements'!C36/('Three Statements'!C36+'Three Statements'!C39)</f>
        <v>0.14087468460891506</v>
      </c>
      <c r="D10" s="83">
        <f>'Three Statements'!D36/('Three Statements'!D36+'Three Statements'!D39)</f>
        <v>0.21860435823151531</v>
      </c>
      <c r="E10" s="83">
        <f>'Three Statements'!E36/('Three Statements'!E36+'Three Statements'!E39)</f>
        <v>0.261144578313253</v>
      </c>
      <c r="F10" s="83">
        <f>'Three Statements'!F36/('Three Statements'!F36+'Three Statements'!F39)</f>
        <v>0.27703134996801021</v>
      </c>
      <c r="G10" s="83">
        <f>'Three Statements'!G36/('Three Statements'!G36+'Three Statements'!G39)</f>
        <v>0.53868621499341385</v>
      </c>
      <c r="H10" s="83">
        <f>'Three Statements'!H36/('Three Statements'!H36+'Three Statements'!H39)</f>
        <v>0.42439134355275021</v>
      </c>
      <c r="I10" s="83">
        <f>'Three Statements'!I36/('Three Statements'!I36+'Three Statements'!I39)</f>
        <v>0.36857981075162183</v>
      </c>
    </row>
    <row r="11" spans="1:22" x14ac:dyDescent="0.2">
      <c r="A11" t="s">
        <v>242</v>
      </c>
      <c r="B11" s="83">
        <f>'Three Statements'!B14/'Three Statements'!B39</f>
        <v>0.26394900448571651</v>
      </c>
      <c r="C11" s="83">
        <f>'Three Statements'!C14/'Three Statements'!C39</f>
        <v>0.3067384565181922</v>
      </c>
      <c r="D11" s="83">
        <f>'Three Statements'!D14/'Three Statements'!D39</f>
        <v>0.34174256468122832</v>
      </c>
      <c r="E11" s="83">
        <f>'Three Statements'!E14/'Three Statements'!E39</f>
        <v>0.19700366897676314</v>
      </c>
      <c r="F11" s="83">
        <f>'Three Statements'!F14/'Three Statements'!F39</f>
        <v>0.44568584070796458</v>
      </c>
      <c r="G11" s="83">
        <f>'Three Statements'!G14/'Three Statements'!G39</f>
        <v>0.31520794537554314</v>
      </c>
      <c r="H11" s="83">
        <f>'Three Statements'!H14/'Three Statements'!H39</f>
        <v>0.44857836610010182</v>
      </c>
      <c r="I11" s="83">
        <f>'Three Statements'!I14/'Three Statements'!I39</f>
        <v>0.3956547346377855</v>
      </c>
    </row>
    <row r="15" spans="1:22" x14ac:dyDescent="0.2">
      <c r="A15" t="s">
        <v>243</v>
      </c>
      <c r="B15" s="3">
        <f>'Three Statements'!B53</f>
        <v>4653</v>
      </c>
      <c r="C15" s="3">
        <f>'Three Statements'!C53</f>
        <v>5382</v>
      </c>
      <c r="D15" s="3">
        <f>'Three Statements'!D53</f>
        <v>4622</v>
      </c>
      <c r="E15" s="3">
        <f>'Three Statements'!E53</f>
        <v>4973</v>
      </c>
      <c r="F15" s="3">
        <f>'Three Statements'!F53</f>
        <v>4112</v>
      </c>
      <c r="G15" s="3">
        <f>'Three Statements'!G53</f>
        <v>2276</v>
      </c>
      <c r="H15" s="3">
        <f>'Three Statements'!H53</f>
        <v>5357</v>
      </c>
      <c r="I15" s="3">
        <f>'Three Statements'!I53</f>
        <v>4244</v>
      </c>
      <c r="J15" s="3">
        <f>'Three Statements'!J53</f>
        <v>7648.2447190444718</v>
      </c>
      <c r="K15" s="3"/>
      <c r="L15" s="3">
        <f>'Three Statements'!K53</f>
        <v>7912.4120463604013</v>
      </c>
      <c r="M15" s="3">
        <f>'Three Statements'!L53</f>
        <v>8666.7985179187908</v>
      </c>
      <c r="N15" s="3">
        <f>'Three Statements'!M53</f>
        <v>9560.6643711131965</v>
      </c>
      <c r="O15" s="3">
        <f>'Three Statements'!N53</f>
        <v>10619.478768512841</v>
      </c>
      <c r="P15" s="3">
        <f>'Three Statements'!O53</f>
        <v>0</v>
      </c>
    </row>
    <row r="16" spans="1:22" x14ac:dyDescent="0.2">
      <c r="A16" s="84" t="s">
        <v>129</v>
      </c>
      <c r="B16" s="85">
        <v>0</v>
      </c>
      <c r="C16" s="85">
        <f t="shared" ref="C16:O16" si="1">+IFERROR(C15/B15-1,"nm")</f>
        <v>0.15667311411992269</v>
      </c>
      <c r="D16" s="85">
        <f t="shared" si="1"/>
        <v>-0.14121144555927168</v>
      </c>
      <c r="E16" s="85">
        <f t="shared" si="1"/>
        <v>7.5941151016875708E-2</v>
      </c>
      <c r="F16" s="85">
        <f t="shared" si="1"/>
        <v>-0.1731349286145184</v>
      </c>
      <c r="G16" s="85">
        <f t="shared" si="1"/>
        <v>-0.44649805447470814</v>
      </c>
      <c r="H16" s="85">
        <f t="shared" si="1"/>
        <v>1.3536906854130053</v>
      </c>
      <c r="I16" s="85">
        <f t="shared" si="1"/>
        <v>-0.20776554041441109</v>
      </c>
      <c r="J16" s="85">
        <f t="shared" si="1"/>
        <v>0.80213117790868793</v>
      </c>
      <c r="K16" s="85"/>
      <c r="L16" s="85">
        <f>+IFERROR(L15/J15-1,"nm")</f>
        <v>3.453960183284166E-2</v>
      </c>
      <c r="M16" s="85">
        <f t="shared" si="1"/>
        <v>9.5342162053529078E-2</v>
      </c>
      <c r="N16" s="85">
        <f t="shared" si="1"/>
        <v>0.10313679859365821</v>
      </c>
      <c r="O16" s="85">
        <f t="shared" si="1"/>
        <v>0.11074694773291793</v>
      </c>
      <c r="P16" s="86"/>
      <c r="Q16" s="87"/>
      <c r="R16" s="87"/>
      <c r="S16" s="87"/>
      <c r="T16" s="87"/>
      <c r="U16" s="87"/>
      <c r="V16" s="87"/>
    </row>
    <row r="17" spans="1:22" x14ac:dyDescent="0.2">
      <c r="A17" t="s">
        <v>244</v>
      </c>
      <c r="B17" s="96">
        <f>(B4*B19)+(B22*B9)</f>
        <v>-2246.1604993815349</v>
      </c>
      <c r="C17" s="96">
        <f t="shared" ref="C17:I17" si="2">(C4*C19)+(C22*C9)</f>
        <v>9873.2506768887943</v>
      </c>
      <c r="D17" s="96">
        <f t="shared" si="2"/>
        <v>148.16197905754092</v>
      </c>
      <c r="E17" s="96">
        <f t="shared" si="2"/>
        <v>-34572.756239882685</v>
      </c>
      <c r="F17" s="96">
        <f t="shared" si="2"/>
        <v>493.05839981513617</v>
      </c>
      <c r="G17" s="96">
        <f t="shared" si="2"/>
        <v>98744.75117583762</v>
      </c>
      <c r="H17" s="96">
        <f t="shared" si="2"/>
        <v>1222.2723122987013</v>
      </c>
      <c r="I17" s="96">
        <f t="shared" si="2"/>
        <v>-370028.47325514926</v>
      </c>
      <c r="K17" t="s">
        <v>245</v>
      </c>
      <c r="L17" s="3"/>
      <c r="M17" s="3"/>
      <c r="N17" s="3"/>
      <c r="O17" s="3"/>
      <c r="P17" s="3"/>
    </row>
    <row r="18" spans="1:22" x14ac:dyDescent="0.2">
      <c r="A18" s="2" t="s">
        <v>246</v>
      </c>
      <c r="B18">
        <v>0.80710000000000004</v>
      </c>
      <c r="C18">
        <v>0.62080000000000002</v>
      </c>
      <c r="D18">
        <v>0.43830000000000002</v>
      </c>
      <c r="E18">
        <v>0.67949999999999999</v>
      </c>
      <c r="F18">
        <v>0.69140000000000001</v>
      </c>
      <c r="G18">
        <v>0.83499999999999996</v>
      </c>
      <c r="H18">
        <v>0.86209999999999998</v>
      </c>
      <c r="I18">
        <v>0.95979999999999999</v>
      </c>
      <c r="K18" s="2" t="s">
        <v>247</v>
      </c>
      <c r="N18" t="s">
        <v>265</v>
      </c>
    </row>
    <row r="19" spans="1:22" x14ac:dyDescent="0.2">
      <c r="A19" s="2" t="s">
        <v>248</v>
      </c>
      <c r="B19" s="88">
        <f>(B20+B18)*(B21-B20)</f>
        <v>-1.5107820000000003E-2</v>
      </c>
      <c r="C19" s="88">
        <f t="shared" ref="C19:I19" si="3">(C20+C18)*(C21-C20)</f>
        <v>4.6828320000000007E-2</v>
      </c>
      <c r="D19" s="88">
        <f t="shared" si="3"/>
        <v>7.568902000000001E-2</v>
      </c>
      <c r="E19" s="88">
        <f t="shared" si="3"/>
        <v>-6.6915450000000001E-2</v>
      </c>
      <c r="F19" s="88">
        <f t="shared" si="3"/>
        <v>0.20271961999999999</v>
      </c>
      <c r="G19" s="88">
        <f t="shared" si="3"/>
        <v>6.0811199999999989E-2</v>
      </c>
      <c r="H19" s="88">
        <f t="shared" si="3"/>
        <v>0.22061504999999998</v>
      </c>
      <c r="I19" s="88">
        <f t="shared" si="3"/>
        <v>-0.21682279999999998</v>
      </c>
      <c r="J19" t="s">
        <v>266</v>
      </c>
      <c r="K19" s="2" t="s">
        <v>249</v>
      </c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2" x14ac:dyDescent="0.2">
      <c r="A20" s="2" t="s">
        <v>250</v>
      </c>
      <c r="B20" s="88">
        <v>2.3E-2</v>
      </c>
      <c r="C20" s="96">
        <v>2.5999999999999999E-2</v>
      </c>
      <c r="D20" s="96">
        <v>2.35E-2</v>
      </c>
      <c r="E20" s="96">
        <v>2.86E-2</v>
      </c>
      <c r="F20" s="96">
        <v>1.89E-2</v>
      </c>
      <c r="G20" s="96">
        <v>9.1999999999999998E-2</v>
      </c>
      <c r="H20" s="96">
        <v>1.44E-2</v>
      </c>
      <c r="I20" s="88">
        <v>3.4799999999999998E-2</v>
      </c>
      <c r="J20" t="s">
        <v>269</v>
      </c>
      <c r="K20" s="89" t="s">
        <v>251</v>
      </c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</row>
    <row r="21" spans="1:22" x14ac:dyDescent="0.2">
      <c r="A21" s="2" t="s">
        <v>252</v>
      </c>
      <c r="B21" s="88">
        <v>4.7999999999999996E-3</v>
      </c>
      <c r="C21" s="88">
        <v>9.8400000000000001E-2</v>
      </c>
      <c r="D21" s="88">
        <v>0.18740000000000001</v>
      </c>
      <c r="E21" s="88">
        <v>-6.59E-2</v>
      </c>
      <c r="F21" s="96">
        <v>0.30430000000000001</v>
      </c>
      <c r="G21" s="96">
        <v>0.15759999999999999</v>
      </c>
      <c r="H21" s="96">
        <v>0.2661</v>
      </c>
      <c r="I21" s="88">
        <v>-0.1832</v>
      </c>
      <c r="J21" s="2" t="s">
        <v>253</v>
      </c>
      <c r="K21" s="2" t="s">
        <v>253</v>
      </c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</row>
    <row r="22" spans="1:22" x14ac:dyDescent="0.2">
      <c r="A22" s="2" t="s">
        <v>254</v>
      </c>
      <c r="B22" s="88">
        <f>'Three Statements'!B12/('Three Statements'!B33+'Three Statements'!B34+'Three Statements'!B35+'Three Statements'!B36+'Three Statements'!B37+'Three Statements'!B38)</f>
        <v>0.12590619914188489</v>
      </c>
      <c r="C22" s="88">
        <f>'Three Statements'!C12/('Three Statements'!C33+'Three Statements'!C34+'Three Statements'!C35+'Three Statements'!C36+'Three Statements'!C37+'Three Statements'!C38)</f>
        <v>0.12422628472722039</v>
      </c>
      <c r="D22" s="88">
        <f>'Three Statements'!D12/('Three Statements'!D33+'Three Statements'!D34+'Three Statements'!D35+'Three Statements'!D36+'Three Statements'!D37+'Three Statements'!D38)</f>
        <v>7.3375738300772375E-2</v>
      </c>
      <c r="E22" s="88">
        <f>'Three Statements'!E12/('Three Statements'!E33+'Three Statements'!E34+'Three Statements'!E35+'Three Statements'!E36+'Three Statements'!E37+'Three Statements'!E38)</f>
        <v>0.22900909526089039</v>
      </c>
      <c r="F22" s="88">
        <f>'Three Statements'!F12/('Three Statements'!F33+'Three Statements'!F34+'Three Statements'!F35+'Three Statements'!F36+'Three Statements'!F37+'Three Statements'!F38)</f>
        <v>6.3986738499792792E-2</v>
      </c>
      <c r="G22" s="88">
        <f>'Three Statements'!G12/('Three Statements'!G33+'Three Statements'!G34+'Three Statements'!G35+'Three Statements'!G36+'Three Statements'!G37+'Three Statements'!G38)</f>
        <v>1.6540710109796092E-2</v>
      </c>
      <c r="H22" s="88">
        <f>'Three Statements'!H12/('Three Statements'!H33+'Three Statements'!H34+'Three Statements'!H35+'Three Statements'!H36+'Three Statements'!H37+'Three Statements'!H38)</f>
        <v>4.2191805574377739E-2</v>
      </c>
      <c r="I22" s="88">
        <f>'Three Statements'!I12/('Three Statements'!I33+'Three Statements'!I34+'Three Statements'!I35+'Three Statements'!I36+'Three Statements'!I37+'Three Statements'!I38)</f>
        <v>2.790332995111152E-2</v>
      </c>
      <c r="J22" t="s">
        <v>267</v>
      </c>
      <c r="K22" t="s">
        <v>255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</row>
    <row r="23" spans="1:22" x14ac:dyDescent="0.2">
      <c r="A23" s="2" t="s">
        <v>256</v>
      </c>
      <c r="B23" s="88">
        <f>('Three Statements'!B33+'Three Statements'!B34+'Three Statements'!B35+'Three Statements'!B36+'Three Statements'!B37+'Three Statements'!B38)/'Three Statements'!B31</f>
        <v>0.34722079523271343</v>
      </c>
      <c r="C23" s="88">
        <f>('Three Statements'!C33+'Three Statements'!C34+'Three Statements'!C35+'Three Statements'!C36+'Three Statements'!C37+'Three Statements'!C38)/'Three Statements'!C31</f>
        <v>0.36172871648008331</v>
      </c>
      <c r="D23" s="88">
        <f>('Three Statements'!D33+'Three Statements'!D34+'Three Statements'!D35+'Three Statements'!D36+'Three Statements'!D37+'Three Statements'!D38)/'Three Statements'!D31</f>
        <v>0.41506765357597475</v>
      </c>
      <c r="E23" s="88">
        <f>('Three Statements'!E33+'Three Statements'!E34+'Three Statements'!E35+'Three Statements'!E36+'Three Statements'!E37+'Three Statements'!E38)/'Three Statements'!E31</f>
        <v>0.51562422866169721</v>
      </c>
      <c r="F23" s="88">
        <f>('Three Statements'!F33+'Three Statements'!F34+'Three Statements'!F35+'Three Statements'!F36+'Three Statements'!F37+'Three Statements'!F38)/'Three Statements'!F31</f>
        <v>0.57166548211324331</v>
      </c>
      <c r="G23" s="88">
        <f>('Three Statements'!G33+'Three Statements'!G34+'Three Statements'!G35+'Three Statements'!G36+'Three Statements'!G37+'Three Statements'!G38)/'Three Statements'!G31</f>
        <v>0.72313879150340277</v>
      </c>
      <c r="H23" s="88">
        <f>('Three Statements'!H33+'Three Statements'!H34+'Three Statements'!H35+'Three Statements'!H36+'Three Statements'!H37+'Three Statements'!H38)/'Three Statements'!H31</f>
        <v>0.63422530369012142</v>
      </c>
      <c r="I23" s="88">
        <f>('Three Statements'!I33+'Three Statements'!I34+'Three Statements'!I35+'Three Statements'!I36+'Three Statements'!I37+'Three Statements'!I38)/'Three Statements'!I31</f>
        <v>0.58658658658658658</v>
      </c>
      <c r="J23" t="s">
        <v>268</v>
      </c>
      <c r="K23" t="s">
        <v>255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</row>
    <row r="24" spans="1:22" x14ac:dyDescent="0.2">
      <c r="A24" t="s">
        <v>257</v>
      </c>
      <c r="K24" t="s">
        <v>258</v>
      </c>
      <c r="L24" s="3"/>
      <c r="M24" s="3"/>
      <c r="N24" s="3"/>
      <c r="O24" s="3"/>
      <c r="P24" s="3"/>
    </row>
    <row r="25" spans="1:22" ht="16" thickBot="1" x14ac:dyDescent="0.25">
      <c r="L25" s="3"/>
      <c r="M25" s="3"/>
      <c r="N25" s="3"/>
      <c r="O25" s="3"/>
      <c r="P25" s="3"/>
    </row>
    <row r="26" spans="1:22" x14ac:dyDescent="0.2">
      <c r="A26" s="90" t="s">
        <v>259</v>
      </c>
      <c r="B26" s="91">
        <f>B15/B17-B16</f>
        <v>-2.0715349598931918</v>
      </c>
      <c r="C26" s="91">
        <f>(C15/C17-C16)*2</f>
        <v>0.77687221675479678</v>
      </c>
      <c r="D26" s="91">
        <f>(D15/D17-D16)*3</f>
        <v>94.010397203924157</v>
      </c>
      <c r="E26" s="91">
        <f>(E15/E17-E16)*4</f>
        <v>-0.87913093766207018</v>
      </c>
      <c r="F26" s="91">
        <f>(F15/F17-F16)*5</f>
        <v>42.564589026660052</v>
      </c>
      <c r="G26" s="91">
        <f>(G15/G17-G16)*6</f>
        <v>2.8172842852398228</v>
      </c>
      <c r="H26" s="91">
        <f>(H15/H17-H16)*7</f>
        <v>21.203907860663044</v>
      </c>
      <c r="I26" s="91">
        <f>(I15/I17-I16)*8</f>
        <v>1.5703692221434156</v>
      </c>
      <c r="L26" s="3"/>
      <c r="M26" s="3"/>
      <c r="N26" s="3"/>
      <c r="O26" s="3"/>
      <c r="P26" s="3"/>
    </row>
    <row r="27" spans="1:22" x14ac:dyDescent="0.2">
      <c r="A27" s="92" t="s">
        <v>260</v>
      </c>
      <c r="B27" s="97">
        <f>B4/B17</f>
        <v>-66.191201626480805</v>
      </c>
      <c r="C27" s="97">
        <f>(C4/C17)*2</f>
        <v>42.709110079323622</v>
      </c>
      <c r="D27" s="97">
        <f>(D4/D17)*3</f>
        <v>39.630376412018833</v>
      </c>
      <c r="E27" s="97">
        <f>(E4/E17)*4</f>
        <v>-59.777067401294723</v>
      </c>
      <c r="F27" s="97">
        <f>(F4/F17)*5</f>
        <v>24.663381669512916</v>
      </c>
      <c r="G27" s="97">
        <f>(G4/G17)*6</f>
        <v>98.666015904488972</v>
      </c>
      <c r="H27" s="97">
        <f>(H4/H17)*7</f>
        <v>31.728668761545126</v>
      </c>
      <c r="I27" s="97">
        <f>(I4/I17)*8</f>
        <v>-36.896490369771868</v>
      </c>
      <c r="L27" s="3"/>
      <c r="M27" s="3"/>
      <c r="N27" s="3"/>
      <c r="O27" s="3"/>
      <c r="P27" s="3"/>
    </row>
    <row r="28" spans="1:22" x14ac:dyDescent="0.2">
      <c r="A28" s="92" t="s">
        <v>261</v>
      </c>
      <c r="B28" s="97">
        <f>B26+B27</f>
        <v>-68.26273658637399</v>
      </c>
      <c r="C28" s="97">
        <f t="shared" ref="C28:I28" si="4">C26+C27</f>
        <v>43.485982296078419</v>
      </c>
      <c r="D28" s="97">
        <f t="shared" si="4"/>
        <v>133.64077361594298</v>
      </c>
      <c r="E28" s="97">
        <f t="shared" si="4"/>
        <v>-60.656198338956791</v>
      </c>
      <c r="F28" s="97">
        <f t="shared" si="4"/>
        <v>67.227970696172974</v>
      </c>
      <c r="G28" s="97">
        <f t="shared" si="4"/>
        <v>101.48330018972879</v>
      </c>
      <c r="H28" s="97">
        <f t="shared" si="4"/>
        <v>52.932576622208174</v>
      </c>
      <c r="I28" s="97">
        <f t="shared" si="4"/>
        <v>-35.326121147628456</v>
      </c>
    </row>
    <row r="29" spans="1:22" x14ac:dyDescent="0.2">
      <c r="A29" s="92" t="s">
        <v>262</v>
      </c>
      <c r="B29" s="93"/>
    </row>
    <row r="30" spans="1:22" x14ac:dyDescent="0.2">
      <c r="A30" s="92" t="s">
        <v>263</v>
      </c>
      <c r="B30" s="93"/>
    </row>
    <row r="31" spans="1:22" ht="16" thickBot="1" x14ac:dyDescent="0.25">
      <c r="A31" s="94" t="s">
        <v>264</v>
      </c>
      <c r="B31" s="95"/>
    </row>
  </sheetData>
  <hyperlinks>
    <hyperlink ref="K20" r:id="rId1" xr:uid="{3CB9D77F-F42C-9B4C-90D3-D26B8C9D152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Historicals</vt:lpstr>
      <vt:lpstr>Segmental forecast</vt:lpstr>
      <vt:lpstr>Three Statements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sam horsley</cp:lastModifiedBy>
  <dcterms:created xsi:type="dcterms:W3CDTF">2020-05-20T17:26:08Z</dcterms:created>
  <dcterms:modified xsi:type="dcterms:W3CDTF">2024-01-30T19:56:05Z</dcterms:modified>
</cp:coreProperties>
</file>