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B8272BDF-89C3-4FF9-AEEC-C579ECB48CC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3" l="1"/>
  <c r="J90" i="3"/>
  <c r="H90" i="3"/>
  <c r="I89" i="3"/>
  <c r="J89" i="3"/>
  <c r="H89" i="3"/>
  <c r="I88" i="3"/>
  <c r="J88" i="3"/>
  <c r="H88" i="3"/>
  <c r="I87" i="3"/>
  <c r="J87" i="3"/>
  <c r="H87" i="3"/>
  <c r="I86" i="3"/>
  <c r="J86" i="3"/>
  <c r="H86" i="3"/>
  <c r="I84" i="3"/>
  <c r="J84" i="3"/>
  <c r="H84" i="3"/>
  <c r="I83" i="3"/>
  <c r="J83" i="3"/>
  <c r="H83" i="3"/>
  <c r="I78" i="3"/>
  <c r="H78" i="3"/>
  <c r="I77" i="3"/>
  <c r="H77" i="3"/>
  <c r="I76" i="3"/>
  <c r="H76" i="3"/>
  <c r="C59" i="2"/>
  <c r="D59" i="2"/>
  <c r="B59" i="2"/>
  <c r="I75" i="3"/>
  <c r="H75" i="3"/>
  <c r="I74" i="3"/>
  <c r="H74" i="3"/>
  <c r="I73" i="3"/>
  <c r="I72" i="3"/>
  <c r="I71" i="3"/>
  <c r="I68" i="3"/>
  <c r="H68" i="3"/>
  <c r="I67" i="3"/>
  <c r="H67" i="3"/>
  <c r="I66" i="3"/>
  <c r="H66" i="3"/>
  <c r="I60" i="3"/>
  <c r="H60" i="3"/>
  <c r="I59" i="3"/>
  <c r="H59" i="3"/>
  <c r="E51" i="3"/>
  <c r="E50" i="3" s="1"/>
  <c r="D51" i="3"/>
  <c r="C51" i="3"/>
  <c r="D49" i="3"/>
  <c r="E49" i="3"/>
  <c r="D52" i="3"/>
  <c r="E52" i="3"/>
  <c r="D47" i="3"/>
  <c r="E47" i="3"/>
  <c r="C47" i="3"/>
  <c r="D43" i="3"/>
  <c r="D42" i="3" s="1"/>
  <c r="E43" i="3"/>
  <c r="E42" i="3" s="1"/>
  <c r="C43" i="3"/>
  <c r="C42" i="3" s="1"/>
  <c r="D41" i="3"/>
  <c r="D40" i="3" s="1"/>
  <c r="E41" i="3"/>
  <c r="E40" i="3" s="1"/>
  <c r="C41" i="3"/>
  <c r="C40" i="3" s="1"/>
  <c r="D37" i="3"/>
  <c r="E37" i="3"/>
  <c r="C36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D25" i="3"/>
  <c r="E25" i="3"/>
  <c r="C25" i="3"/>
  <c r="D19" i="3"/>
  <c r="D18" i="3" s="1"/>
  <c r="E19" i="3"/>
  <c r="E18" i="3" s="1"/>
  <c r="C19" i="3"/>
  <c r="I18" i="3" s="1"/>
  <c r="D14" i="3"/>
  <c r="D13" i="3" s="1"/>
  <c r="E14" i="3"/>
  <c r="D10" i="3"/>
  <c r="D8" i="3"/>
  <c r="E8" i="3"/>
  <c r="D7" i="3"/>
  <c r="E7" i="3"/>
  <c r="C7" i="3"/>
  <c r="D6" i="3"/>
  <c r="E6" i="3"/>
  <c r="C6" i="3"/>
  <c r="D5" i="3"/>
  <c r="E5" i="3"/>
  <c r="B43" i="2"/>
  <c r="B48" i="2" s="1"/>
  <c r="C37" i="3" s="1"/>
  <c r="C10" i="2"/>
  <c r="D36" i="3" s="1"/>
  <c r="D10" i="2"/>
  <c r="E10" i="3" s="1"/>
  <c r="B10" i="2"/>
  <c r="C9" i="3" s="1"/>
  <c r="C8" i="2"/>
  <c r="I63" i="3" s="1"/>
  <c r="D8" i="2"/>
  <c r="E34" i="3" s="1"/>
  <c r="B8" i="2"/>
  <c r="H61" i="3" s="1"/>
  <c r="C50" i="3" l="1"/>
  <c r="D50" i="3"/>
  <c r="C8" i="3"/>
  <c r="E9" i="3"/>
  <c r="D11" i="3"/>
  <c r="C21" i="3"/>
  <c r="D22" i="3"/>
  <c r="C26" i="3"/>
  <c r="D34" i="3"/>
  <c r="C49" i="3"/>
  <c r="I61" i="3"/>
  <c r="H72" i="3"/>
  <c r="D9" i="3"/>
  <c r="D12" i="3" s="1"/>
  <c r="C14" i="3"/>
  <c r="C13" i="3" s="1"/>
  <c r="E13" i="3"/>
  <c r="C18" i="3"/>
  <c r="E21" i="3"/>
  <c r="C35" i="3"/>
  <c r="E36" i="3"/>
  <c r="H63" i="3"/>
  <c r="C11" i="3"/>
  <c r="C10" i="3"/>
  <c r="D21" i="3"/>
  <c r="C22" i="3"/>
  <c r="C34" i="3"/>
  <c r="E35" i="3"/>
  <c r="C52" i="3"/>
  <c r="J63" i="3"/>
  <c r="H71" i="3"/>
  <c r="H73" i="3"/>
  <c r="C5" i="3"/>
  <c r="E11" i="3"/>
  <c r="E22" i="3"/>
  <c r="D35" i="3"/>
  <c r="D11" i="2"/>
  <c r="E17" i="3" s="1"/>
  <c r="C11" i="2"/>
  <c r="D17" i="3" s="1"/>
  <c r="B11" i="2"/>
  <c r="C17" i="3" s="1"/>
  <c r="I17" i="3" l="1"/>
  <c r="E28" i="3"/>
  <c r="E48" i="3"/>
  <c r="E20" i="3"/>
  <c r="D48" i="3"/>
  <c r="D20" i="3"/>
  <c r="D28" i="3"/>
  <c r="E12" i="3"/>
  <c r="C12" i="3"/>
  <c r="C20" i="3"/>
  <c r="C28" i="3"/>
  <c r="C48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CD057F-CC63-44BD-9C04-D38A4D6F4106}" keepAlive="1" name="Query - Table046 (Page 48)" description="Connection to the 'Table046 (Page 48)' query in the workbook." type="5" refreshedVersion="0" background="1">
    <dbPr connection="Provider=Microsoft.Mashup.OleDb.1;Data Source=$Workbook$;Location=&quot;Table046 (Page 48)&quot;;Extended Properties=&quot;&quot;" command="SELECT * FROM [Table046 (Page 48)]"/>
  </connection>
  <connection id="2" xr16:uid="{0D3049B7-6501-42B4-8539-5C7B075C18FE}" keepAlive="1" name="Query - Table047 (Page 48)" description="Connection to the 'Table047 (Page 48)' query in the workbook." type="5" refreshedVersion="8" background="1" saveData="1">
    <dbPr connection="Provider=Microsoft.Mashup.OleDb.1;Data Source=$Workbook$;Location=&quot;Table047 (Page 48)&quot;;Extended Properties=&quot;&quot;" command="SELECT * FROM [Table047 (Page 48)]"/>
  </connection>
  <connection id="3" xr16:uid="{0E915939-9D26-4DF1-BEDC-30A1DC6530FF}" keepAlive="1" name="Query - Table048 (Page 48)" description="Connection to the 'Table048 (Page 48)' query in the workbook." type="5" refreshedVersion="8" background="1" saveData="1">
    <dbPr connection="Provider=Microsoft.Mashup.OleDb.1;Data Source=$Workbook$;Location=&quot;Table048 (Page 48)&quot;;Extended Properties=&quot;&quot;" command="SELECT * FROM [Table048 (Page 48)]"/>
  </connection>
</connections>
</file>

<file path=xl/sharedStrings.xml><?xml version="1.0" encoding="utf-8"?>
<sst xmlns="http://schemas.openxmlformats.org/spreadsheetml/2006/main" count="200" uniqueCount="192">
  <si>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</si>
  <si>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</si>
  <si>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</si>
  <si>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</si>
  <si>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</si>
  <si>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</si>
  <si>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</si>
  <si>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</si>
  <si>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</si>
  <si>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</si>
  <si>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</si>
  <si>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</si>
  <si>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</si>
  <si>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</si>
  <si>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</si>
  <si>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</si>
  <si>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</si>
  <si>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</si>
  <si>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</si>
  <si>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</si>
  <si>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</si>
  <si>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</si>
  <si>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</si>
  <si>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</si>
  <si>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</si>
  <si>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</si>
  <si>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</si>
  <si>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</si>
  <si>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</si>
  <si>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</si>
  <si>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</si>
  <si>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</si>
  <si>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</si>
  <si>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</si>
  <si>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</si>
  <si>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</si>
  <si>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</si>
  <si>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</si>
  <si>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</si>
  <si>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</si>
  <si>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</si>
  <si>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</si>
  <si>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</si>
  <si>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</si>
  <si>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</si>
  <si>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</si>
  <si>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</si>
  <si>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</si>
  <si>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</si>
  <si>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</si>
  <si>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</si>
  <si>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</si>
  <si>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</si>
  <si>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</si>
  <si>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</si>
  <si>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</si>
  <si>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</si>
  <si>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</si>
  <si>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</si>
  <si>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</si>
  <si>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</si>
  <si>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</si>
  <si>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</si>
  <si>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 December</t>
  </si>
  <si>
    <t>Net Sales:</t>
  </si>
  <si>
    <t xml:space="preserve">Products </t>
  </si>
  <si>
    <t>Services</t>
  </si>
  <si>
    <t>Total Net Sales</t>
  </si>
  <si>
    <t>Total Cost of Sales</t>
  </si>
  <si>
    <t>Cost of sales</t>
  </si>
  <si>
    <t>Operating Expenses</t>
  </si>
  <si>
    <t>Operating Expenses:</t>
  </si>
  <si>
    <t xml:space="preserve">Fulfillment </t>
  </si>
  <si>
    <t xml:space="preserve">Technology and content </t>
  </si>
  <si>
    <t xml:space="preserve">Sales and marketing </t>
  </si>
  <si>
    <t>General and administrative</t>
  </si>
  <si>
    <t>Other operating expenses(income), net</t>
  </si>
  <si>
    <t>Total Operating expenses</t>
  </si>
  <si>
    <t xml:space="preserve">Operating Income </t>
  </si>
  <si>
    <t xml:space="preserve">Interest Income </t>
  </si>
  <si>
    <t>Ineterst expense</t>
  </si>
  <si>
    <t>Other income(expense), net</t>
  </si>
  <si>
    <t>Total non-operating income (expense)</t>
  </si>
  <si>
    <t>Income (loss) before income taxes</t>
  </si>
  <si>
    <t>Benefit (provision) for income taxes</t>
  </si>
  <si>
    <t>Net income(loss)</t>
  </si>
  <si>
    <t>Basic Earnings per share</t>
  </si>
  <si>
    <t xml:space="preserve">Diluted earnings per share </t>
  </si>
  <si>
    <t>Weighted average shares used in computation</t>
  </si>
  <si>
    <t>Equity methos, investment activity, net of tax</t>
  </si>
  <si>
    <t>Basic shares</t>
  </si>
  <si>
    <t>Diluted shares</t>
  </si>
  <si>
    <t>Assets</t>
  </si>
  <si>
    <t>Current Assets:</t>
  </si>
  <si>
    <t xml:space="preserve">Cash and cash equilivants </t>
  </si>
  <si>
    <t>Inventories</t>
  </si>
  <si>
    <t xml:space="preserve">Accounts recivievables, net and other </t>
  </si>
  <si>
    <t>Total Current Assets</t>
  </si>
  <si>
    <t>Property and equipement, net</t>
  </si>
  <si>
    <t>Operating leases</t>
  </si>
  <si>
    <t>goodwill</t>
  </si>
  <si>
    <t xml:space="preserve">Other assets </t>
  </si>
  <si>
    <t>Total Assets</t>
  </si>
  <si>
    <t>Liabilities and Stockholders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</si>
  <si>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</si>
  <si>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</si>
  <si>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</si>
  <si>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</si>
  <si>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</si>
  <si>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</si>
  <si>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</si>
  <si>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</si>
  <si>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Commitments and Contingencies</t>
  </si>
  <si>
    <t>Stockholders Equity</t>
  </si>
  <si>
    <t>Treasury Stock, at cost</t>
  </si>
  <si>
    <t>Additional paid-in capital</t>
  </si>
  <si>
    <t>Accumulated other comprehensive income(loss)</t>
  </si>
  <si>
    <t>Retained Earnings</t>
  </si>
  <si>
    <t>Total Stockholders equity</t>
  </si>
  <si>
    <t>Total Liabilities and stockholders' equity</t>
  </si>
  <si>
    <t xml:space="preserve">Common stock </t>
  </si>
  <si>
    <t xml:space="preserve">Cash, cash equivalents, and restricted cash, beginning of period </t>
  </si>
  <si>
    <t>Operating Activities</t>
  </si>
  <si>
    <t>Depreciaition and amortization</t>
  </si>
  <si>
    <t>stock based ciompensation</t>
  </si>
  <si>
    <t>other expenses(income), net</t>
  </si>
  <si>
    <t xml:space="preserve">Deffered taxes income </t>
  </si>
  <si>
    <t>Chnages in operating assets and liabilities:</t>
  </si>
  <si>
    <t>Accounts recievables, net and other</t>
  </si>
  <si>
    <t>accounts payable</t>
  </si>
  <si>
    <t>Unearned Revenue</t>
  </si>
  <si>
    <t>Net cash provided(used in) opearting activities</t>
  </si>
  <si>
    <t>Investing Activities:</t>
  </si>
  <si>
    <t xml:space="preserve">Purchase of property and equipement </t>
  </si>
  <si>
    <t>Proceeds from propert and equipment sales and incentives</t>
  </si>
  <si>
    <t>Acquisitions, net of cash aquired, and other</t>
  </si>
  <si>
    <t>Sales and maturities oif marketable securities</t>
  </si>
  <si>
    <t>Net cahs provided by (used in) investing activities</t>
  </si>
  <si>
    <t>Financing Activities</t>
  </si>
  <si>
    <t>Common stock repurchase</t>
  </si>
  <si>
    <t xml:space="preserve">Proceeds from short term debt </t>
  </si>
  <si>
    <t xml:space="preserve">Repayments of short term debt </t>
  </si>
  <si>
    <t xml:space="preserve">Proceeds From long term debt </t>
  </si>
  <si>
    <t xml:space="preserve">Repayments of long term debt </t>
  </si>
  <si>
    <t>Principal repayments of finance leases</t>
  </si>
  <si>
    <t xml:space="preserve">Principle repaymetns of financing obligations </t>
  </si>
  <si>
    <t>Net cahs provided by (used in) financing acitivities</t>
  </si>
  <si>
    <t>Foreign Currency effect on cash</t>
  </si>
  <si>
    <t>Net increase (decrease) in cash</t>
  </si>
  <si>
    <t>Cash, cash equivilanmts and restricted cash, end of period</t>
  </si>
  <si>
    <t>Purchase of marketbale securities</t>
  </si>
  <si>
    <t xml:space="preserve">Supplemental cash flow information </t>
  </si>
  <si>
    <t>Cash paid for interest</t>
  </si>
  <si>
    <t>Cash paid for interest on finance leases</t>
  </si>
  <si>
    <t>Cash paid for operating leases</t>
  </si>
  <si>
    <t>cash paid for interest on financing olbigations</t>
  </si>
  <si>
    <t>Marketable securities</t>
  </si>
  <si>
    <t>Years ended december,</t>
  </si>
  <si>
    <t>Capital employed</t>
  </si>
  <si>
    <t>(In millions)</t>
  </si>
  <si>
    <t>Growth Rates (%)</t>
  </si>
  <si>
    <t>Sales</t>
  </si>
  <si>
    <t>Products</t>
  </si>
  <si>
    <t>Total net sales</t>
  </si>
  <si>
    <t>Gross Profits</t>
  </si>
  <si>
    <t>Total operating expenses</t>
  </si>
  <si>
    <t>Balance Sheet Main Line Items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</si>
  <si>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</si>
  <si>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</si>
  <si>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</si>
  <si>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</si>
  <si>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</si>
  <si>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</si>
  <si>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</si>
  <si>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</si>
  <si>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Margins/ as a percentage of net sales (%)</t>
  </si>
  <si>
    <t>COGS (Cost of goods sold)</t>
  </si>
  <si>
    <t>Gross profits</t>
  </si>
  <si>
    <t>Each operating expenses</t>
  </si>
  <si>
    <t>Operating income</t>
  </si>
  <si>
    <t>Net profit</t>
  </si>
  <si>
    <t xml:space="preserve">Fullfillment </t>
  </si>
  <si>
    <t>Total Liabilities</t>
  </si>
  <si>
    <t xml:space="preserve">Tehcnology and content </t>
  </si>
  <si>
    <t xml:space="preserve">sales and marketing </t>
  </si>
  <si>
    <t>Operating income (row 19)</t>
  </si>
  <si>
    <t>Term debt or notes (under non-current liabilities)/Total equity</t>
  </si>
  <si>
    <t>EBIT/(interest + debt repayment)</t>
  </si>
  <si>
    <t>Cash from operations + Capex + Net debt issued</t>
  </si>
  <si>
    <t>Link diluted EPS</t>
  </si>
  <si>
    <t>Capital employed = Debt + Total shareholder equity. Other components in non-current liabilities will not be included in debt, only the term debt or notes/debentures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</si>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</sst>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Font="1"/>
    <xf numFmtId="165" fontId="0" fillId="0" borderId="0" xfId="1" applyNumberFormat="1" applyFont="1" applyBorder="1"/>
    <xf numFmtId="165" fontId="2" fillId="0" borderId="0" xfId="1" applyNumberFormat="1" applyFont="1" applyBorder="1"/>
    <xf numFmtId="0" fontId="0" fillId="0" borderId="1" xfId="0" applyBorder="1"/>
    <xf numFmtId="165" fontId="1" fillId="0" borderId="1" xfId="1" applyNumberFormat="1" applyFont="1" applyBorder="1"/>
    <xf numFmtId="165" fontId="0" fillId="0" borderId="0" xfId="1" applyNumberFormat="1" applyFont="1" applyFill="1" applyBorder="1"/>
    <xf numFmtId="165" fontId="1" fillId="0" borderId="0" xfId="1" applyNumberFormat="1" applyFont="1" applyBorder="1"/>
    <xf numFmtId="9" fontId="0" fillId="0" borderId="0" xfId="3" applyFont="1"/>
    <xf numFmtId="0" fontId="0" fillId="0" borderId="0" xfId="0" applyAlignment="1">
      <alignment horizontal="left"/>
    </xf>
    <xf numFmtId="2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2" fillId="0" borderId="0" xfId="1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4" workbookViewId="0">
      <selection activeCell="D67" sqref="D6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36" t="s">
        <v>10</v>
      </c>
      <c r="B2" s="36"/>
      <c r="C2" s="36"/>
      <c r="D2" s="36"/>
    </row>
    <row r="3" spans="1:10" x14ac:dyDescent="0.3">
      <c r="B3" s="35" t="s">
        <v>63</v>
      </c>
      <c r="C3" s="35"/>
      <c r="D3" s="35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64</v>
      </c>
      <c r="B5" s="9"/>
      <c r="C5" s="9"/>
      <c r="D5" s="9"/>
    </row>
    <row r="6" spans="1:10" x14ac:dyDescent="0.3">
      <c r="A6" t="s">
        <v>65</v>
      </c>
      <c r="B6" s="24">
        <v>242901</v>
      </c>
      <c r="C6" s="24">
        <v>241787</v>
      </c>
      <c r="D6" s="24">
        <v>215915</v>
      </c>
    </row>
    <row r="7" spans="1:10" x14ac:dyDescent="0.3">
      <c r="A7" s="1" t="s">
        <v>66</v>
      </c>
      <c r="B7" s="10">
        <v>271082</v>
      </c>
      <c r="C7" s="10">
        <v>228035</v>
      </c>
      <c r="D7" s="10">
        <v>170419</v>
      </c>
    </row>
    <row r="8" spans="1:10" x14ac:dyDescent="0.3">
      <c r="A8" s="11" t="s">
        <v>67</v>
      </c>
      <c r="B8" s="12">
        <f>SUM(B6:B7)</f>
        <v>513983</v>
      </c>
      <c r="C8" s="12">
        <f t="shared" ref="C8:D8" si="0">SUM(C6:C7)</f>
        <v>469822</v>
      </c>
      <c r="D8" s="12">
        <f t="shared" si="0"/>
        <v>386334</v>
      </c>
    </row>
    <row r="9" spans="1:10" x14ac:dyDescent="0.3">
      <c r="A9" t="s">
        <v>69</v>
      </c>
      <c r="B9" s="10">
        <v>288831</v>
      </c>
      <c r="C9" s="10">
        <v>272344</v>
      </c>
      <c r="D9" s="10">
        <v>233307</v>
      </c>
    </row>
    <row r="10" spans="1:10" x14ac:dyDescent="0.3">
      <c r="A10" s="11" t="s">
        <v>68</v>
      </c>
      <c r="B10" s="12">
        <f>B9</f>
        <v>288831</v>
      </c>
      <c r="C10" s="12">
        <f t="shared" ref="C10:D10" si="1">C9</f>
        <v>272344</v>
      </c>
      <c r="D10" s="12">
        <f t="shared" si="1"/>
        <v>233307</v>
      </c>
    </row>
    <row r="11" spans="1:10" x14ac:dyDescent="0.3">
      <c r="A11" s="11" t="s">
        <v>11</v>
      </c>
      <c r="B11" s="12">
        <f>B8-B10</f>
        <v>225152</v>
      </c>
      <c r="C11" s="12">
        <f t="shared" ref="C11:D11" si="2">C8-C10</f>
        <v>197478</v>
      </c>
      <c r="D11" s="12">
        <f t="shared" si="2"/>
        <v>153027</v>
      </c>
    </row>
    <row r="12" spans="1:10" x14ac:dyDescent="0.3">
      <c r="A12" t="s">
        <v>71</v>
      </c>
      <c r="B12" s="10"/>
      <c r="C12" s="10"/>
      <c r="D12" s="10"/>
    </row>
    <row r="13" spans="1:10" x14ac:dyDescent="0.3">
      <c r="A13" t="s">
        <v>72</v>
      </c>
      <c r="B13" s="10">
        <v>84299</v>
      </c>
      <c r="C13" s="10">
        <v>75111</v>
      </c>
      <c r="D13" s="10">
        <v>58517</v>
      </c>
    </row>
    <row r="14" spans="1:10" x14ac:dyDescent="0.3">
      <c r="A14" t="s">
        <v>73</v>
      </c>
      <c r="B14" s="10">
        <v>73213</v>
      </c>
      <c r="C14" s="10">
        <v>56052</v>
      </c>
      <c r="D14" s="10">
        <v>42740</v>
      </c>
    </row>
    <row r="15" spans="1:10" x14ac:dyDescent="0.3">
      <c r="A15" t="s">
        <v>74</v>
      </c>
      <c r="B15" s="10">
        <v>42238</v>
      </c>
      <c r="C15" s="10">
        <v>32551</v>
      </c>
      <c r="D15" s="10">
        <v>22008</v>
      </c>
    </row>
    <row r="16" spans="1:10" x14ac:dyDescent="0.3">
      <c r="A16" s="1" t="s">
        <v>75</v>
      </c>
      <c r="B16" s="10">
        <v>6668</v>
      </c>
      <c r="C16" s="10">
        <v>8823</v>
      </c>
      <c r="D16" s="10">
        <v>11891</v>
      </c>
    </row>
    <row r="17" spans="1:4" x14ac:dyDescent="0.3">
      <c r="A17" s="1" t="s">
        <v>76</v>
      </c>
      <c r="B17" s="10">
        <v>1263</v>
      </c>
      <c r="C17" s="10">
        <v>62</v>
      </c>
      <c r="D17" s="10">
        <v>-75</v>
      </c>
    </row>
    <row r="18" spans="1:4" x14ac:dyDescent="0.3">
      <c r="A18" s="11" t="s">
        <v>77</v>
      </c>
      <c r="B18" s="12">
        <v>501735</v>
      </c>
      <c r="C18" s="12">
        <v>444943</v>
      </c>
      <c r="D18" s="12">
        <v>363165</v>
      </c>
    </row>
    <row r="19" spans="1:4" s="11" customFormat="1" x14ac:dyDescent="0.3">
      <c r="A19" s="27" t="s">
        <v>78</v>
      </c>
      <c r="B19" s="28">
        <v>12248</v>
      </c>
      <c r="C19" s="28">
        <v>24879</v>
      </c>
      <c r="D19" s="28">
        <v>22899</v>
      </c>
    </row>
    <row r="20" spans="1:4" x14ac:dyDescent="0.3">
      <c r="A20" t="s">
        <v>79</v>
      </c>
      <c r="B20" s="25">
        <v>989</v>
      </c>
      <c r="C20" s="25">
        <v>448</v>
      </c>
      <c r="D20" s="25">
        <v>555</v>
      </c>
    </row>
    <row r="21" spans="1:4" x14ac:dyDescent="0.3">
      <c r="A21" t="s">
        <v>80</v>
      </c>
      <c r="B21" s="30">
        <v>-2367</v>
      </c>
      <c r="C21" s="30">
        <v>-1809</v>
      </c>
      <c r="D21" s="30">
        <v>-1647</v>
      </c>
    </row>
    <row r="22" spans="1:4" x14ac:dyDescent="0.3">
      <c r="A22" t="s">
        <v>81</v>
      </c>
      <c r="B22" s="25">
        <v>-16806</v>
      </c>
      <c r="C22" s="25">
        <v>14633</v>
      </c>
      <c r="D22" s="25">
        <v>2371</v>
      </c>
    </row>
    <row r="23" spans="1:4" x14ac:dyDescent="0.3">
      <c r="A23" s="9" t="s">
        <v>82</v>
      </c>
      <c r="B23" s="26">
        <v>-18184</v>
      </c>
      <c r="C23" s="26">
        <v>13272</v>
      </c>
      <c r="D23" s="26">
        <v>1279</v>
      </c>
    </row>
    <row r="24" spans="1:4" x14ac:dyDescent="0.3">
      <c r="A24" t="s">
        <v>83</v>
      </c>
      <c r="B24" s="29">
        <v>-5936</v>
      </c>
      <c r="C24" s="29">
        <v>38151</v>
      </c>
      <c r="D24" s="29">
        <v>24178</v>
      </c>
    </row>
    <row r="25" spans="1:4" x14ac:dyDescent="0.3">
      <c r="A25" s="1" t="s">
        <v>84</v>
      </c>
      <c r="B25" s="15">
        <v>3217</v>
      </c>
      <c r="C25" s="15">
        <v>-4791</v>
      </c>
      <c r="D25" s="15">
        <v>-2863</v>
      </c>
    </row>
    <row r="26" spans="1:4" x14ac:dyDescent="0.3">
      <c r="A26" s="1" t="s">
        <v>89</v>
      </c>
      <c r="B26" s="15">
        <v>-3</v>
      </c>
      <c r="C26" s="15">
        <v>4</v>
      </c>
      <c r="D26" s="15">
        <v>16</v>
      </c>
    </row>
    <row r="27" spans="1:4" x14ac:dyDescent="0.3">
      <c r="A27" s="1" t="s">
        <v>85</v>
      </c>
      <c r="B27" s="15">
        <v>-2722</v>
      </c>
      <c r="C27" s="15">
        <v>33364</v>
      </c>
      <c r="D27" s="15">
        <v>21331</v>
      </c>
    </row>
    <row r="28" spans="1:4" x14ac:dyDescent="0.3">
      <c r="A28" s="1"/>
      <c r="B28" s="15"/>
      <c r="C28" s="15"/>
      <c r="D28" s="15"/>
    </row>
    <row r="29" spans="1:4" x14ac:dyDescent="0.3">
      <c r="A29" t="s">
        <v>86</v>
      </c>
      <c r="B29" s="15">
        <v>-0.27</v>
      </c>
      <c r="C29" s="15">
        <v>3.3</v>
      </c>
      <c r="D29" s="15">
        <v>2.13</v>
      </c>
    </row>
    <row r="30" spans="1:4" x14ac:dyDescent="0.3">
      <c r="A30" s="1" t="s">
        <v>87</v>
      </c>
      <c r="B30" s="16">
        <v>-0.27</v>
      </c>
      <c r="C30" s="16">
        <v>3.24</v>
      </c>
      <c r="D30" s="16">
        <v>2.09</v>
      </c>
    </row>
    <row r="31" spans="1:4" x14ac:dyDescent="0.3">
      <c r="A31" s="1" t="s">
        <v>88</v>
      </c>
      <c r="B31" s="16"/>
      <c r="C31" s="16"/>
      <c r="D31" s="16"/>
    </row>
    <row r="32" spans="1:4" x14ac:dyDescent="0.3">
      <c r="A32" s="1" t="s">
        <v>90</v>
      </c>
      <c r="B32" s="15">
        <v>10189</v>
      </c>
      <c r="C32" s="15">
        <v>10117</v>
      </c>
      <c r="D32" s="15">
        <v>10005</v>
      </c>
    </row>
    <row r="33" spans="1:4" x14ac:dyDescent="0.3">
      <c r="A33" s="1" t="s">
        <v>91</v>
      </c>
      <c r="B33" s="15">
        <v>10198</v>
      </c>
      <c r="C33" s="15">
        <v>10296</v>
      </c>
      <c r="D33" s="15">
        <v>10198</v>
      </c>
    </row>
    <row r="34" spans="1:4" x14ac:dyDescent="0.3">
      <c r="A34" s="36" t="s">
        <v>12</v>
      </c>
      <c r="B34" s="36"/>
      <c r="C34" s="36"/>
      <c r="D34" s="36"/>
    </row>
    <row r="35" spans="1:4" x14ac:dyDescent="0.3">
      <c r="B35" s="35" t="s">
        <v>58</v>
      </c>
      <c r="C35" s="35"/>
      <c r="D35" s="35"/>
    </row>
    <row r="36" spans="1:4" x14ac:dyDescent="0.3">
      <c r="B36" s="9">
        <v>2022</v>
      </c>
      <c r="C36" s="9">
        <v>2021</v>
      </c>
      <c r="D36" s="9">
        <v>2020</v>
      </c>
    </row>
    <row r="37" spans="1:4" x14ac:dyDescent="0.3">
      <c r="A37" s="9" t="s">
        <v>92</v>
      </c>
    </row>
    <row r="38" spans="1:4" x14ac:dyDescent="0.3">
      <c r="A38" t="s">
        <v>93</v>
      </c>
    </row>
    <row r="39" spans="1:4" x14ac:dyDescent="0.3">
      <c r="A39" s="1" t="s">
        <v>94</v>
      </c>
      <c r="B39" s="10">
        <v>53888</v>
      </c>
      <c r="C39" s="10">
        <v>36220</v>
      </c>
      <c r="D39" s="10">
        <v>42122</v>
      </c>
    </row>
    <row r="40" spans="1:4" x14ac:dyDescent="0.3">
      <c r="A40" s="1" t="s">
        <v>156</v>
      </c>
      <c r="B40" s="10">
        <v>16138</v>
      </c>
      <c r="C40" s="10">
        <v>59829</v>
      </c>
      <c r="D40" s="10">
        <v>42274</v>
      </c>
    </row>
    <row r="41" spans="1:4" x14ac:dyDescent="0.3">
      <c r="A41" s="1" t="s">
        <v>95</v>
      </c>
      <c r="B41" s="10">
        <v>34405</v>
      </c>
      <c r="C41" s="10">
        <v>32640</v>
      </c>
      <c r="D41" s="10">
        <v>23795</v>
      </c>
    </row>
    <row r="42" spans="1:4" x14ac:dyDescent="0.3">
      <c r="A42" s="1" t="s">
        <v>96</v>
      </c>
      <c r="B42" s="10">
        <v>42360</v>
      </c>
      <c r="C42" s="10">
        <v>32891</v>
      </c>
      <c r="D42" s="10">
        <v>24542</v>
      </c>
    </row>
    <row r="43" spans="1:4" x14ac:dyDescent="0.3">
      <c r="A43" s="18" t="s">
        <v>97</v>
      </c>
      <c r="B43" s="17">
        <f>SUM(B39:B42)</f>
        <v>146791</v>
      </c>
      <c r="C43" s="17">
        <v>161580</v>
      </c>
      <c r="D43" s="10">
        <v>132733</v>
      </c>
    </row>
    <row r="44" spans="1:4" x14ac:dyDescent="0.3">
      <c r="A44" s="1" t="s">
        <v>98</v>
      </c>
      <c r="B44" s="10">
        <v>186715</v>
      </c>
      <c r="C44" s="10">
        <v>160281</v>
      </c>
      <c r="D44" s="10">
        <v>113114</v>
      </c>
    </row>
    <row r="45" spans="1:4" x14ac:dyDescent="0.3">
      <c r="A45" s="27" t="s">
        <v>99</v>
      </c>
      <c r="B45" s="28">
        <v>66123</v>
      </c>
      <c r="C45" s="28">
        <v>56082</v>
      </c>
      <c r="D45" s="28">
        <v>37553</v>
      </c>
    </row>
    <row r="46" spans="1:4" x14ac:dyDescent="0.3">
      <c r="A46" s="1" t="s">
        <v>100</v>
      </c>
      <c r="B46" s="10">
        <v>20288</v>
      </c>
      <c r="C46" s="10">
        <v>15371</v>
      </c>
      <c r="D46" s="10">
        <v>15017</v>
      </c>
    </row>
    <row r="47" spans="1:4" x14ac:dyDescent="0.3">
      <c r="A47" s="1" t="s">
        <v>101</v>
      </c>
      <c r="B47" s="10">
        <v>42758</v>
      </c>
      <c r="C47" s="10">
        <v>27235</v>
      </c>
      <c r="D47" s="10">
        <v>22778</v>
      </c>
    </row>
    <row r="48" spans="1:4" x14ac:dyDescent="0.3">
      <c r="A48" s="18" t="s">
        <v>102</v>
      </c>
      <c r="B48" s="17">
        <f>SUM(B43:B47)</f>
        <v>462675</v>
      </c>
      <c r="C48" s="17">
        <v>420549</v>
      </c>
      <c r="D48" s="17">
        <v>321195</v>
      </c>
    </row>
    <row r="49" spans="1:4" x14ac:dyDescent="0.3">
      <c r="A49" s="1"/>
      <c r="B49" s="10"/>
      <c r="C49" s="10"/>
      <c r="D49" s="10"/>
    </row>
    <row r="50" spans="1:4" x14ac:dyDescent="0.3">
      <c r="A50" s="11" t="s">
        <v>103</v>
      </c>
      <c r="B50" s="12"/>
      <c r="C50" s="12"/>
      <c r="D50" s="12"/>
    </row>
    <row r="51" spans="1:4" ht="15" thickBot="1" x14ac:dyDescent="0.35">
      <c r="A51" s="13" t="s">
        <v>104</v>
      </c>
      <c r="B51" s="14"/>
      <c r="C51" s="14"/>
      <c r="D51" s="14"/>
    </row>
    <row r="52" spans="1:4" ht="15" thickTop="1" x14ac:dyDescent="0.3">
      <c r="A52" s="1" t="s">
        <v>105</v>
      </c>
      <c r="B52">
        <v>79600</v>
      </c>
      <c r="C52">
        <v>78664</v>
      </c>
      <c r="D52">
        <v>72539</v>
      </c>
    </row>
    <row r="53" spans="1:4" x14ac:dyDescent="0.3">
      <c r="A53" s="1" t="s">
        <v>106</v>
      </c>
      <c r="B53">
        <v>62566</v>
      </c>
      <c r="C53">
        <v>51775</v>
      </c>
      <c r="D53">
        <v>44138</v>
      </c>
    </row>
    <row r="54" spans="1:4" x14ac:dyDescent="0.3">
      <c r="A54" s="1" t="s">
        <v>107</v>
      </c>
      <c r="B54" s="10">
        <v>13227</v>
      </c>
      <c r="C54" s="10">
        <v>11827</v>
      </c>
      <c r="D54" s="10">
        <v>9708</v>
      </c>
    </row>
    <row r="55" spans="1:4" x14ac:dyDescent="0.3">
      <c r="A55" s="1" t="s">
        <v>108</v>
      </c>
      <c r="B55" s="10">
        <v>155393</v>
      </c>
      <c r="C55" s="10">
        <v>142266</v>
      </c>
      <c r="D55" s="10">
        <v>126385</v>
      </c>
    </row>
    <row r="56" spans="1:4" x14ac:dyDescent="0.3">
      <c r="A56" s="1" t="s">
        <v>109</v>
      </c>
      <c r="B56" s="10">
        <v>72968</v>
      </c>
      <c r="C56" s="10">
        <v>67651</v>
      </c>
      <c r="D56" s="10">
        <v>52573</v>
      </c>
    </row>
    <row r="57" spans="1:4" x14ac:dyDescent="0.3">
      <c r="A57" s="1" t="s">
        <v>110</v>
      </c>
      <c r="B57" s="10">
        <v>67150</v>
      </c>
      <c r="C57" s="10">
        <v>48744</v>
      </c>
      <c r="D57" s="10">
        <v>31816</v>
      </c>
    </row>
    <row r="58" spans="1:4" x14ac:dyDescent="0.3">
      <c r="A58" s="1" t="s">
        <v>111</v>
      </c>
      <c r="B58" s="10">
        <v>21121</v>
      </c>
      <c r="C58" s="10">
        <v>23643</v>
      </c>
      <c r="D58" s="10">
        <v>17017</v>
      </c>
    </row>
    <row r="59" spans="1:4" x14ac:dyDescent="0.3">
      <c r="A59" s="1" t="s">
        <v>182</v>
      </c>
      <c r="B59" s="10">
        <f>B52+B53+B54+B56+B57+B58</f>
        <v>316632</v>
      </c>
      <c r="C59" s="10">
        <f t="shared" ref="C59:D59" si="3">C52+C53+C54+C56+C57+C58</f>
        <v>282304</v>
      </c>
      <c r="D59" s="10">
        <f t="shared" si="3"/>
        <v>227791</v>
      </c>
    </row>
    <row r="60" spans="1:4" x14ac:dyDescent="0.3">
      <c r="A60" s="11" t="s">
        <v>112</v>
      </c>
      <c r="B60" s="12"/>
      <c r="C60" s="12"/>
      <c r="D60" s="12"/>
    </row>
    <row r="61" spans="1:4" x14ac:dyDescent="0.3">
      <c r="A61" s="1" t="s">
        <v>113</v>
      </c>
      <c r="B61" s="10"/>
      <c r="C61" s="10"/>
      <c r="D61" s="10"/>
    </row>
    <row r="62" spans="1:4" x14ac:dyDescent="0.3">
      <c r="A62" s="1" t="s">
        <v>120</v>
      </c>
      <c r="B62" s="10">
        <v>108</v>
      </c>
      <c r="C62" s="10">
        <v>106</v>
      </c>
      <c r="D62" s="10">
        <v>5</v>
      </c>
    </row>
    <row r="63" spans="1:4" x14ac:dyDescent="0.3">
      <c r="A63" s="1" t="s">
        <v>114</v>
      </c>
      <c r="B63" s="10">
        <v>-7837</v>
      </c>
      <c r="C63" s="10">
        <v>-1837</v>
      </c>
      <c r="D63" s="10">
        <v>-1837</v>
      </c>
    </row>
    <row r="64" spans="1:4" x14ac:dyDescent="0.3">
      <c r="A64" s="1" t="s">
        <v>115</v>
      </c>
      <c r="B64" s="10">
        <v>75066</v>
      </c>
      <c r="C64" s="10">
        <v>55437</v>
      </c>
      <c r="D64" s="10">
        <v>42865</v>
      </c>
    </row>
    <row r="65" spans="1:4" x14ac:dyDescent="0.3">
      <c r="A65" s="1" t="s">
        <v>116</v>
      </c>
      <c r="B65" s="10">
        <v>-4487</v>
      </c>
      <c r="C65" s="10">
        <v>-1376</v>
      </c>
      <c r="D65" s="10">
        <v>-180</v>
      </c>
    </row>
    <row r="66" spans="1:4" x14ac:dyDescent="0.3">
      <c r="A66" s="1" t="s">
        <v>117</v>
      </c>
      <c r="B66" s="10">
        <v>83193</v>
      </c>
      <c r="C66" s="10">
        <v>85915</v>
      </c>
      <c r="D66" s="10">
        <v>52511</v>
      </c>
    </row>
    <row r="67" spans="1:4" x14ac:dyDescent="0.3">
      <c r="A67" s="11" t="s">
        <v>118</v>
      </c>
      <c r="B67" s="12">
        <v>146043</v>
      </c>
      <c r="C67" s="12">
        <v>138245</v>
      </c>
      <c r="D67" s="12">
        <v>93404</v>
      </c>
    </row>
    <row r="68" spans="1:4" x14ac:dyDescent="0.3">
      <c r="A68" s="1" t="s">
        <v>119</v>
      </c>
      <c r="B68" s="10">
        <v>462675</v>
      </c>
      <c r="C68" s="10">
        <v>420549</v>
      </c>
      <c r="D68" s="10">
        <v>321195</v>
      </c>
    </row>
    <row r="69" spans="1:4" x14ac:dyDescent="0.3">
      <c r="A69" s="36" t="s">
        <v>13</v>
      </c>
      <c r="B69" s="36"/>
      <c r="C69" s="36"/>
      <c r="D69" s="36"/>
    </row>
    <row r="70" spans="1:4" x14ac:dyDescent="0.3">
      <c r="B70" s="35" t="s">
        <v>57</v>
      </c>
      <c r="C70" s="35"/>
      <c r="D70" s="35"/>
    </row>
    <row r="71" spans="1:4" x14ac:dyDescent="0.3">
      <c r="B71" s="9">
        <v>2022</v>
      </c>
      <c r="C71" s="9">
        <v>2021</v>
      </c>
      <c r="D71" s="9">
        <v>2020</v>
      </c>
    </row>
    <row r="72" spans="1:4" x14ac:dyDescent="0.3">
      <c r="A72" t="s">
        <v>121</v>
      </c>
      <c r="B72">
        <v>36477</v>
      </c>
      <c r="C72">
        <v>42377</v>
      </c>
      <c r="D72">
        <v>36410</v>
      </c>
    </row>
    <row r="73" spans="1:4" x14ac:dyDescent="0.3">
      <c r="A73" s="9" t="s">
        <v>122</v>
      </c>
      <c r="B73" s="17"/>
      <c r="C73" s="17"/>
      <c r="D73" s="17"/>
    </row>
    <row r="74" spans="1:4" x14ac:dyDescent="0.3">
      <c r="A74" t="s">
        <v>85</v>
      </c>
      <c r="B74" s="10">
        <v>-2722</v>
      </c>
      <c r="C74" s="10">
        <v>33364</v>
      </c>
      <c r="D74" s="10">
        <v>21331</v>
      </c>
    </row>
    <row r="75" spans="1:4" x14ac:dyDescent="0.3">
      <c r="A75" s="18" t="s">
        <v>123</v>
      </c>
      <c r="B75" s="17">
        <v>41921</v>
      </c>
      <c r="C75" s="17">
        <v>34433</v>
      </c>
      <c r="D75" s="17">
        <v>25180</v>
      </c>
    </row>
    <row r="76" spans="1:4" x14ac:dyDescent="0.3">
      <c r="A76" s="1" t="s">
        <v>124</v>
      </c>
      <c r="B76" s="10">
        <v>19621</v>
      </c>
      <c r="C76" s="10">
        <v>12757</v>
      </c>
      <c r="D76" s="10">
        <v>9208</v>
      </c>
    </row>
    <row r="77" spans="1:4" x14ac:dyDescent="0.3">
      <c r="A77" s="19" t="s">
        <v>125</v>
      </c>
      <c r="B77" s="10">
        <v>16966</v>
      </c>
      <c r="C77" s="10">
        <v>-14306</v>
      </c>
      <c r="D77" s="10">
        <v>-2582</v>
      </c>
    </row>
    <row r="78" spans="1:4" x14ac:dyDescent="0.3">
      <c r="A78" s="19" t="s">
        <v>126</v>
      </c>
      <c r="B78" s="10">
        <v>-8148</v>
      </c>
      <c r="C78" s="10">
        <v>-310</v>
      </c>
      <c r="D78" s="10">
        <v>-554</v>
      </c>
    </row>
    <row r="79" spans="1:4" x14ac:dyDescent="0.3">
      <c r="A79" s="19" t="s">
        <v>127</v>
      </c>
      <c r="B79" s="10"/>
      <c r="C79" s="10"/>
      <c r="D79" s="10"/>
    </row>
    <row r="80" spans="1:4" x14ac:dyDescent="0.3">
      <c r="A80" s="19" t="s">
        <v>95</v>
      </c>
      <c r="B80" s="10">
        <v>-2592</v>
      </c>
      <c r="C80" s="10">
        <v>-9487</v>
      </c>
      <c r="D80" s="10">
        <v>-2849</v>
      </c>
    </row>
    <row r="81" spans="1:4" x14ac:dyDescent="0.3">
      <c r="A81" s="19" t="s">
        <v>128</v>
      </c>
      <c r="B81" s="10">
        <v>-21897</v>
      </c>
      <c r="C81" s="10">
        <v>-18163</v>
      </c>
      <c r="D81" s="10">
        <v>-8169</v>
      </c>
    </row>
    <row r="82" spans="1:4" x14ac:dyDescent="0.3">
      <c r="A82" s="1" t="s">
        <v>129</v>
      </c>
      <c r="B82" s="10">
        <v>2945</v>
      </c>
      <c r="C82" s="10">
        <v>3602</v>
      </c>
      <c r="D82" s="10">
        <v>17480</v>
      </c>
    </row>
    <row r="83" spans="1:4" x14ac:dyDescent="0.3">
      <c r="A83" s="1" t="s">
        <v>106</v>
      </c>
      <c r="B83" s="10">
        <v>-1558</v>
      </c>
      <c r="C83" s="10">
        <v>2123</v>
      </c>
      <c r="D83" s="10">
        <v>5754</v>
      </c>
    </row>
    <row r="84" spans="1:4" x14ac:dyDescent="0.3">
      <c r="A84" s="1" t="s">
        <v>130</v>
      </c>
      <c r="B84" s="10">
        <v>2216</v>
      </c>
      <c r="C84" s="10">
        <v>2314</v>
      </c>
      <c r="D84" s="10">
        <v>1265</v>
      </c>
    </row>
    <row r="85" spans="1:4" x14ac:dyDescent="0.3">
      <c r="A85" s="1" t="s">
        <v>131</v>
      </c>
      <c r="B85" s="10">
        <v>43752</v>
      </c>
      <c r="C85" s="10">
        <v>43237</v>
      </c>
      <c r="D85" s="10">
        <v>66064</v>
      </c>
    </row>
    <row r="86" spans="1:4" x14ac:dyDescent="0.3">
      <c r="A86" s="1" t="s">
        <v>132</v>
      </c>
      <c r="B86" s="10"/>
      <c r="C86" s="10"/>
      <c r="D86" s="10"/>
    </row>
    <row r="87" spans="1:4" x14ac:dyDescent="0.3">
      <c r="A87" s="1" t="s">
        <v>133</v>
      </c>
      <c r="B87" s="10">
        <v>-63645</v>
      </c>
      <c r="C87" s="10">
        <v>-61053</v>
      </c>
      <c r="D87" s="10">
        <v>-40140</v>
      </c>
    </row>
    <row r="88" spans="1:4" x14ac:dyDescent="0.3">
      <c r="A88" s="1" t="s">
        <v>134</v>
      </c>
      <c r="B88" s="10">
        <v>5324</v>
      </c>
      <c r="C88" s="10">
        <v>5657</v>
      </c>
      <c r="D88" s="10">
        <v>5096</v>
      </c>
    </row>
    <row r="89" spans="1:4" x14ac:dyDescent="0.3">
      <c r="A89" s="11" t="s">
        <v>135</v>
      </c>
      <c r="B89" s="12">
        <v>-8316</v>
      </c>
      <c r="C89" s="12">
        <v>-1985</v>
      </c>
      <c r="D89" s="12">
        <v>-2325</v>
      </c>
    </row>
    <row r="90" spans="1:4" x14ac:dyDescent="0.3">
      <c r="A90" s="9" t="s">
        <v>136</v>
      </c>
      <c r="B90" s="10">
        <v>31601</v>
      </c>
      <c r="C90" s="10">
        <v>59384</v>
      </c>
      <c r="D90" s="10">
        <v>50237</v>
      </c>
    </row>
    <row r="91" spans="1:4" x14ac:dyDescent="0.3">
      <c r="A91" s="9" t="s">
        <v>150</v>
      </c>
      <c r="B91" s="10">
        <v>-2565</v>
      </c>
      <c r="C91" s="10">
        <v>-60157</v>
      </c>
      <c r="D91" s="10">
        <v>-72479</v>
      </c>
    </row>
    <row r="92" spans="1:4" x14ac:dyDescent="0.3">
      <c r="A92" s="1" t="s">
        <v>137</v>
      </c>
      <c r="B92" s="10">
        <v>-37601</v>
      </c>
      <c r="C92" s="10">
        <v>-58154</v>
      </c>
      <c r="D92" s="10">
        <v>-59611</v>
      </c>
    </row>
    <row r="93" spans="1:4" x14ac:dyDescent="0.3">
      <c r="A93" s="1" t="s">
        <v>138</v>
      </c>
      <c r="B93" s="10"/>
      <c r="C93" s="10"/>
      <c r="D93" s="10"/>
    </row>
    <row r="94" spans="1:4" x14ac:dyDescent="0.3">
      <c r="A94" s="1" t="s">
        <v>139</v>
      </c>
      <c r="B94" s="10">
        <v>-6000</v>
      </c>
      <c r="C94" s="10">
        <v>0</v>
      </c>
      <c r="D94" s="10">
        <v>0</v>
      </c>
    </row>
    <row r="95" spans="1:4" x14ac:dyDescent="0.3">
      <c r="A95" s="1" t="s">
        <v>140</v>
      </c>
      <c r="B95" s="10">
        <v>41553</v>
      </c>
      <c r="C95" s="10">
        <v>7956</v>
      </c>
      <c r="D95" s="10">
        <v>6796</v>
      </c>
    </row>
    <row r="96" spans="1:4" x14ac:dyDescent="0.3">
      <c r="A96" s="1" t="s">
        <v>141</v>
      </c>
      <c r="B96" s="10">
        <v>-37554</v>
      </c>
      <c r="C96" s="10">
        <v>-7753</v>
      </c>
      <c r="D96" s="10">
        <v>-6177</v>
      </c>
    </row>
    <row r="97" spans="1:4" x14ac:dyDescent="0.3">
      <c r="A97" s="1" t="s">
        <v>142</v>
      </c>
      <c r="B97" s="10">
        <v>21166</v>
      </c>
      <c r="C97" s="10">
        <v>19003</v>
      </c>
      <c r="D97" s="10">
        <v>10525</v>
      </c>
    </row>
    <row r="98" spans="1:4" x14ac:dyDescent="0.3">
      <c r="A98" s="1" t="s">
        <v>143</v>
      </c>
      <c r="B98" s="10">
        <v>-1258</v>
      </c>
      <c r="C98" s="10">
        <v>-1590</v>
      </c>
      <c r="D98" s="10">
        <v>-1553</v>
      </c>
    </row>
    <row r="99" spans="1:4" x14ac:dyDescent="0.3">
      <c r="A99" s="1" t="s">
        <v>144</v>
      </c>
      <c r="B99" s="10">
        <v>-7941</v>
      </c>
      <c r="C99" s="10">
        <v>-11163</v>
      </c>
      <c r="D99" s="10">
        <v>-10642</v>
      </c>
    </row>
    <row r="100" spans="1:4" x14ac:dyDescent="0.3">
      <c r="A100" s="11" t="s">
        <v>145</v>
      </c>
      <c r="B100" s="12">
        <v>-248</v>
      </c>
      <c r="C100" s="12">
        <v>-162</v>
      </c>
      <c r="D100" s="12">
        <v>-53</v>
      </c>
    </row>
    <row r="101" spans="1:4" x14ac:dyDescent="0.3">
      <c r="A101" s="9" t="s">
        <v>146</v>
      </c>
      <c r="B101" s="10">
        <v>9718</v>
      </c>
      <c r="C101" s="10">
        <v>6291</v>
      </c>
      <c r="D101" s="10">
        <v>-1104</v>
      </c>
    </row>
    <row r="102" spans="1:4" x14ac:dyDescent="0.3">
      <c r="A102" s="1" t="s">
        <v>147</v>
      </c>
      <c r="B102" s="10">
        <v>-1093</v>
      </c>
      <c r="C102" s="10">
        <v>-364</v>
      </c>
      <c r="D102" s="10">
        <v>618</v>
      </c>
    </row>
    <row r="103" spans="1:4" x14ac:dyDescent="0.3">
      <c r="A103" s="1" t="s">
        <v>148</v>
      </c>
      <c r="B103" s="10">
        <v>17776</v>
      </c>
      <c r="C103" s="10">
        <v>-5900</v>
      </c>
      <c r="D103" s="10">
        <v>5967</v>
      </c>
    </row>
    <row r="104" spans="1:4" x14ac:dyDescent="0.3">
      <c r="A104" s="1" t="s">
        <v>149</v>
      </c>
      <c r="B104" s="10">
        <v>54253</v>
      </c>
      <c r="C104" s="10">
        <v>36477</v>
      </c>
      <c r="D104" s="10">
        <v>42377</v>
      </c>
    </row>
    <row r="105" spans="1:4" x14ac:dyDescent="0.3">
      <c r="A105" s="1"/>
      <c r="B105" s="10"/>
      <c r="C105" s="10"/>
      <c r="D105" s="10"/>
    </row>
    <row r="106" spans="1:4" x14ac:dyDescent="0.3">
      <c r="A106" s="1"/>
      <c r="B106" s="10"/>
      <c r="C106" s="10"/>
      <c r="D106" s="10"/>
    </row>
    <row r="107" spans="1:4" x14ac:dyDescent="0.3">
      <c r="A107" s="1"/>
      <c r="B107" s="10"/>
      <c r="C107" s="10"/>
      <c r="D107" s="10"/>
    </row>
    <row r="108" spans="1:4" x14ac:dyDescent="0.3">
      <c r="A108" s="1"/>
      <c r="B108" s="10"/>
      <c r="C108" s="10"/>
      <c r="D108" s="10"/>
    </row>
    <row r="109" spans="1:4" x14ac:dyDescent="0.3">
      <c r="A109" s="1"/>
      <c r="B109" s="10"/>
      <c r="C109" s="10"/>
      <c r="D109" s="10"/>
    </row>
    <row r="110" spans="1:4" x14ac:dyDescent="0.3">
      <c r="A110" s="11"/>
      <c r="B110" s="12"/>
      <c r="C110" s="12"/>
      <c r="D110" s="12"/>
    </row>
    <row r="111" spans="1:4" x14ac:dyDescent="0.3">
      <c r="A111" s="11"/>
      <c r="B111" s="12"/>
      <c r="C111" s="12"/>
      <c r="D111" s="12"/>
    </row>
    <row r="112" spans="1:4" ht="15" thickBot="1" x14ac:dyDescent="0.35">
      <c r="A112" s="13"/>
      <c r="B112" s="14"/>
      <c r="C112" s="14"/>
      <c r="D112" s="14"/>
    </row>
    <row r="113" spans="1:4" ht="15" thickTop="1" x14ac:dyDescent="0.3">
      <c r="B113" s="10"/>
      <c r="C113" s="10"/>
      <c r="D113" s="10"/>
    </row>
    <row r="114" spans="1:4" x14ac:dyDescent="0.3">
      <c r="B114" s="10"/>
      <c r="C114" s="10"/>
      <c r="D114" s="10"/>
    </row>
    <row r="115" spans="1:4" x14ac:dyDescent="0.3">
      <c r="A115" t="s">
        <v>151</v>
      </c>
      <c r="B115" s="10"/>
      <c r="C115" s="10"/>
      <c r="D115" s="10"/>
    </row>
    <row r="116" spans="1:4" x14ac:dyDescent="0.3">
      <c r="A116" t="s">
        <v>152</v>
      </c>
      <c r="B116" s="10">
        <v>1561</v>
      </c>
      <c r="C116" s="10">
        <v>1098</v>
      </c>
      <c r="D116" s="10">
        <v>916</v>
      </c>
    </row>
    <row r="117" spans="1:4" x14ac:dyDescent="0.3">
      <c r="A117" t="s">
        <v>153</v>
      </c>
      <c r="B117">
        <v>374</v>
      </c>
      <c r="C117">
        <v>521</v>
      </c>
      <c r="D117">
        <v>612</v>
      </c>
    </row>
    <row r="118" spans="1:4" x14ac:dyDescent="0.3">
      <c r="A118" t="s">
        <v>154</v>
      </c>
      <c r="B118">
        <v>8633</v>
      </c>
      <c r="C118">
        <v>6722</v>
      </c>
      <c r="D118">
        <v>4475</v>
      </c>
    </row>
    <row r="119" spans="1:4" x14ac:dyDescent="0.3">
      <c r="A119" t="s">
        <v>155</v>
      </c>
      <c r="B119" s="10">
        <v>207</v>
      </c>
      <c r="C119" s="10">
        <v>153</v>
      </c>
      <c r="D119" s="10">
        <v>102</v>
      </c>
    </row>
  </sheetData>
  <mergeCells count="6">
    <mergeCell ref="B70:D70"/>
    <mergeCell ref="A2:D2"/>
    <mergeCell ref="B3:D3"/>
    <mergeCell ref="A34:D34"/>
    <mergeCell ref="B35:D35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7"/>
  <sheetViews>
    <sheetView tabSelected="1" workbookViewId="0">
      <selection activeCell="G2" sqref="G2"/>
    </sheetView>
  </sheetViews>
  <sheetFormatPr defaultRowHeight="14.4" x14ac:dyDescent="0.3"/>
  <cols>
    <col min="1" max="1" width="4.6640625" customWidth="1"/>
    <col min="2" max="2" width="44.88671875" customWidth="1"/>
    <col min="3" max="3" width="11.109375" bestFit="1" customWidth="1"/>
    <col min="4" max="5" width="12.5546875" bestFit="1" customWidth="1"/>
    <col min="7" max="7" width="34.33203125" bestFit="1" customWidth="1"/>
    <col min="8" max="8" width="7.21875" bestFit="1" customWidth="1"/>
  </cols>
  <sheetData>
    <row r="1" spans="1:10" ht="60" customHeight="1" x14ac:dyDescent="0.5">
      <c r="A1" s="7"/>
      <c r="B1" s="20" t="s">
        <v>59</v>
      </c>
      <c r="C1" s="21" t="s">
        <v>159</v>
      </c>
      <c r="D1" s="21"/>
      <c r="E1" s="21"/>
      <c r="F1" s="21"/>
      <c r="G1" s="21" t="s">
        <v>191</v>
      </c>
      <c r="H1" s="21"/>
      <c r="I1" s="21"/>
      <c r="J1" s="21"/>
    </row>
    <row r="2" spans="1:10" x14ac:dyDescent="0.3">
      <c r="C2" s="35" t="s">
        <v>157</v>
      </c>
      <c r="D2" s="35"/>
      <c r="E2" s="35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  <c r="C5" s="24">
        <f>'Financial Statements'!B43/'Financial Statements'!B55</f>
        <v>0.9446435811136924</v>
      </c>
      <c r="D5" s="24">
        <f>'Financial Statements'!C43/'Financial Statements'!C55</f>
        <v>1.1357597739445826</v>
      </c>
      <c r="E5" s="24">
        <f>'Financial Statements'!D43/'Financial Statements'!D55</f>
        <v>1.0502274795268425</v>
      </c>
    </row>
    <row r="6" spans="1:10" x14ac:dyDescent="0.3">
      <c r="A6" s="22">
        <f t="shared" ref="A6:A13" si="0">+A5+0.1</f>
        <v>1.2000000000000002</v>
      </c>
      <c r="B6" s="1" t="s">
        <v>16</v>
      </c>
      <c r="C6" s="24">
        <f>('Financial Statements'!B42+'Financial Statements'!B40+'Financial Statements'!B39)/'Financial Statements'!B55</f>
        <v>0.72323721145740161</v>
      </c>
      <c r="D6" s="24">
        <f>('Financial Statements'!C42+'Financial Statements'!C40+'Financial Statements'!C39)/'Financial Statements'!C55</f>
        <v>0.90633039517523517</v>
      </c>
      <c r="E6" s="24">
        <f>('Financial Statements'!D42+'Financial Statements'!D40+'Financial Statements'!D39)/'Financial Statements'!D55</f>
        <v>0.86195355461486722</v>
      </c>
    </row>
    <row r="7" spans="1:10" x14ac:dyDescent="0.3">
      <c r="A7" s="22">
        <f t="shared" si="0"/>
        <v>1.3000000000000003</v>
      </c>
      <c r="B7" s="1" t="s">
        <v>17</v>
      </c>
      <c r="C7" s="24">
        <f>'Financial Statements'!B39/'Financial Statements'!B55</f>
        <v>0.34678524772673158</v>
      </c>
      <c r="D7" s="24">
        <f>'Financial Statements'!C39/'Financial Statements'!C55</f>
        <v>0.25459350793583851</v>
      </c>
      <c r="E7" s="24">
        <f>'Financial Statements'!D39/'Financial Statements'!D55</f>
        <v>0.33328322190133325</v>
      </c>
    </row>
    <row r="8" spans="1:10" x14ac:dyDescent="0.3">
      <c r="A8" s="22">
        <f t="shared" si="0"/>
        <v>1.4000000000000004</v>
      </c>
      <c r="B8" s="1" t="s">
        <v>18</v>
      </c>
      <c r="C8" s="24">
        <f>(('Financial Statements'!B43)/(('Financial Statements'!B18-'Financial Statements'!B75)/365))</f>
        <v>116.52258304444841</v>
      </c>
      <c r="D8" s="24">
        <f>(('Financial Statements'!C43)/(('Financial Statements'!C18-'Financial Statements'!C75)/365))</f>
        <v>143.66690214611094</v>
      </c>
      <c r="E8" s="24">
        <f>(('Financial Statements'!D43)/(('Financial Statements'!D18-'Financial Statements'!D75)/365))</f>
        <v>143.34229329703982</v>
      </c>
    </row>
    <row r="9" spans="1:10" x14ac:dyDescent="0.3">
      <c r="A9" s="22">
        <f t="shared" si="0"/>
        <v>1.5000000000000004</v>
      </c>
      <c r="B9" s="1" t="s">
        <v>19</v>
      </c>
      <c r="C9" s="24">
        <f>365/('Financial Statements'!B10/'Financial Statements'!B41)</f>
        <v>43.4781065744328</v>
      </c>
      <c r="D9" s="24">
        <f>365/('Financial Statements'!C10/'Financial Statements'!C41)</f>
        <v>43.744675851129458</v>
      </c>
      <c r="E9" s="24">
        <f>365/('Financial Statements'!D10/'Financial Statements'!D41)</f>
        <v>37.226379834295585</v>
      </c>
    </row>
    <row r="10" spans="1:10" x14ac:dyDescent="0.3">
      <c r="A10" s="22">
        <f t="shared" si="0"/>
        <v>1.6000000000000005</v>
      </c>
      <c r="B10" s="1" t="s">
        <v>20</v>
      </c>
      <c r="C10" s="24">
        <f>('Financial Statements'!B52/'Financial Statements'!B10)*365</f>
        <v>100.59169548975007</v>
      </c>
      <c r="D10" s="24">
        <f>('Financial Statements'!C52/'Financial Statements'!C10)*365</f>
        <v>105.42681314807743</v>
      </c>
      <c r="E10" s="24">
        <f>('Financial Statements'!D52/'Financial Statements'!D10)*365</f>
        <v>113.48452896826929</v>
      </c>
    </row>
    <row r="11" spans="1:10" x14ac:dyDescent="0.3">
      <c r="A11" s="22">
        <f t="shared" si="0"/>
        <v>1.7000000000000006</v>
      </c>
      <c r="B11" s="1" t="s">
        <v>21</v>
      </c>
      <c r="C11" s="24">
        <f>('Financial Statements'!B42/'Financial Statements'!B8)*365</f>
        <v>30.081539661817608</v>
      </c>
      <c r="D11" s="24">
        <f>('Financial Statements'!C42/'Financial Statements'!C8)*365</f>
        <v>25.552688039299991</v>
      </c>
      <c r="E11" s="24">
        <f>('Financial Statements'!D42/'Financial Statements'!D8)*365</f>
        <v>23.186750324848443</v>
      </c>
    </row>
    <row r="12" spans="1:10" x14ac:dyDescent="0.3">
      <c r="A12" s="22">
        <f t="shared" si="0"/>
        <v>1.8000000000000007</v>
      </c>
      <c r="B12" s="1" t="s">
        <v>22</v>
      </c>
      <c r="C12" s="24">
        <f>C9+C11-C10</f>
        <v>-27.03204925349965</v>
      </c>
      <c r="D12" s="24">
        <f t="shared" ref="D12:E12" si="1">D9+D11-D10</f>
        <v>-36.129449257647977</v>
      </c>
      <c r="E12" s="24">
        <f t="shared" si="1"/>
        <v>-53.071398809125256</v>
      </c>
    </row>
    <row r="13" spans="1:10" x14ac:dyDescent="0.3">
      <c r="A13" s="22">
        <f t="shared" si="0"/>
        <v>1.9000000000000008</v>
      </c>
      <c r="B13" s="1" t="s">
        <v>23</v>
      </c>
      <c r="C13" s="31">
        <f>(C14/'Financial Statements'!B8)</f>
        <v>-1.6735962084349094E-2</v>
      </c>
      <c r="D13" s="31">
        <f>(D14/'Financial Statements'!C8)</f>
        <v>4.1109186032156859E-2</v>
      </c>
      <c r="E13" s="31">
        <f>(E14/'Financial Statements'!D8)</f>
        <v>1.6431378030408922E-2</v>
      </c>
    </row>
    <row r="14" spans="1:10" x14ac:dyDescent="0.3">
      <c r="A14" s="22"/>
      <c r="B14" s="19" t="s">
        <v>24</v>
      </c>
      <c r="C14" s="10">
        <f>'Financial Statements'!B43-'Financial Statements'!B55</f>
        <v>-8602</v>
      </c>
      <c r="D14" s="10">
        <f>'Financial Statements'!C43-'Financial Statements'!C55</f>
        <v>19314</v>
      </c>
      <c r="E14" s="10">
        <f>'Financial Statements'!D43-'Financial Statements'!D55</f>
        <v>6348</v>
      </c>
    </row>
    <row r="15" spans="1:10" x14ac:dyDescent="0.3">
      <c r="A15" s="22"/>
    </row>
    <row r="16" spans="1:10" x14ac:dyDescent="0.3">
      <c r="A16" s="22">
        <f>+A4+1</f>
        <v>2</v>
      </c>
      <c r="B16" s="23" t="s">
        <v>25</v>
      </c>
    </row>
    <row r="17" spans="1:9" x14ac:dyDescent="0.3">
      <c r="A17" s="22">
        <f>+A16+0.1</f>
        <v>2.1</v>
      </c>
      <c r="B17" s="1" t="s">
        <v>11</v>
      </c>
      <c r="C17">
        <f>'Financial Statements'!B11</f>
        <v>225152</v>
      </c>
      <c r="D17">
        <f>'Financial Statements'!C11</f>
        <v>197478</v>
      </c>
      <c r="E17">
        <f>'Financial Statements'!D11</f>
        <v>153027</v>
      </c>
      <c r="I17">
        <f>C17/E17</f>
        <v>1.4713220542780032</v>
      </c>
    </row>
    <row r="18" spans="1:9" x14ac:dyDescent="0.3">
      <c r="A18" s="22">
        <f>+A17+0.1</f>
        <v>2.2000000000000002</v>
      </c>
      <c r="B18" s="1" t="s">
        <v>26</v>
      </c>
      <c r="C18" s="31">
        <f>C19/'Financial Statements'!B8</f>
        <v>0.10539064521589235</v>
      </c>
      <c r="D18" s="31">
        <f>D19/'Financial Statements'!C8</f>
        <v>0.12624355607017126</v>
      </c>
      <c r="E18" s="31">
        <f>E19/'Financial Statements'!D8</f>
        <v>0.12444931070006782</v>
      </c>
      <c r="I18">
        <f>C19/E19</f>
        <v>1.1266665280059902</v>
      </c>
    </row>
    <row r="19" spans="1:9" x14ac:dyDescent="0.3">
      <c r="A19" s="22"/>
      <c r="B19" s="19" t="s">
        <v>27</v>
      </c>
      <c r="C19">
        <f>'Financial Statements'!B19+'Financial Statements'!B75</f>
        <v>54169</v>
      </c>
      <c r="D19">
        <f>'Financial Statements'!C19+'Financial Statements'!C75</f>
        <v>59312</v>
      </c>
      <c r="E19">
        <f>'Financial Statements'!D19+'Financial Statements'!D75</f>
        <v>48079</v>
      </c>
    </row>
    <row r="20" spans="1:9" x14ac:dyDescent="0.3">
      <c r="A20" s="22">
        <f>+A18+0.1</f>
        <v>2.3000000000000003</v>
      </c>
      <c r="B20" s="1" t="s">
        <v>28</v>
      </c>
      <c r="C20" s="31">
        <f>C21/'Financial Statements'!B8</f>
        <v>-0.53811701943449497</v>
      </c>
      <c r="D20" s="31">
        <f>D21/'Financial Statements'!C8</f>
        <v>-0.52672075807433449</v>
      </c>
      <c r="E20" s="31">
        <f>E21/'Financial Statements'!D8</f>
        <v>-0.54392831073630588</v>
      </c>
    </row>
    <row r="21" spans="1:9" x14ac:dyDescent="0.3">
      <c r="A21" s="22"/>
      <c r="B21" s="19" t="s">
        <v>29</v>
      </c>
      <c r="C21">
        <f>'Financial Statements'!B8-'Financial Statements'!B10-'Financial Statements'!B18</f>
        <v>-276583</v>
      </c>
      <c r="D21">
        <f>'Financial Statements'!C8-'Financial Statements'!C10-'Financial Statements'!C18</f>
        <v>-247465</v>
      </c>
      <c r="E21">
        <f>'Financial Statements'!D8-'Financial Statements'!D10-'Financial Statements'!D18</f>
        <v>-210138</v>
      </c>
      <c r="G21" t="s">
        <v>185</v>
      </c>
    </row>
    <row r="22" spans="1:9" x14ac:dyDescent="0.3">
      <c r="A22" s="22">
        <f>+A20+0.1</f>
        <v>2.4000000000000004</v>
      </c>
      <c r="B22" s="1" t="s">
        <v>30</v>
      </c>
      <c r="C22" s="31">
        <f>'Financial Statements'!B27/'Financial Statements'!B8</f>
        <v>-5.2958950004183018E-3</v>
      </c>
      <c r="D22" s="31">
        <f>'Financial Statements'!C27/'Financial Statements'!C8</f>
        <v>7.1014128755145567E-2</v>
      </c>
      <c r="E22" s="31">
        <f>'Financial Statements'!D27/'Financial Statements'!D8</f>
        <v>5.5213882288382594E-2</v>
      </c>
    </row>
    <row r="23" spans="1:9" x14ac:dyDescent="0.3">
      <c r="A23" s="22"/>
    </row>
    <row r="24" spans="1:9" x14ac:dyDescent="0.3">
      <c r="A24" s="22">
        <f>+A16+1</f>
        <v>3</v>
      </c>
      <c r="B24" s="9" t="s">
        <v>31</v>
      </c>
    </row>
    <row r="25" spans="1:9" x14ac:dyDescent="0.3">
      <c r="A25" s="22">
        <f>+A24+0.1</f>
        <v>3.1</v>
      </c>
      <c r="B25" s="1" t="s">
        <v>32</v>
      </c>
      <c r="C25" s="33">
        <f>('Financial Statements'!B55+'Financial Statements'!B56+'Financial Statements'!B57+'Financial Statements'!B58)/'Financial Statements'!B67</f>
        <v>2.1680737864875415</v>
      </c>
      <c r="D25" s="33">
        <f>('Financial Statements'!C55+'Financial Statements'!C56+'Financial Statements'!C57+'Financial Statements'!C58)/'Financial Statements'!C67</f>
        <v>2.0420557705522802</v>
      </c>
      <c r="E25" s="33">
        <f>('Financial Statements'!D55+'Financial Statements'!D56+'Financial Statements'!D57+'Financial Statements'!D58)/'Financial Statements'!D67</f>
        <v>2.4387713588283155</v>
      </c>
      <c r="G25" t="s">
        <v>186</v>
      </c>
    </row>
    <row r="26" spans="1:9" x14ac:dyDescent="0.3">
      <c r="A26" s="22">
        <f t="shared" ref="A26:A30" si="2">+A25+0.1</f>
        <v>3.2</v>
      </c>
      <c r="B26" s="1" t="s">
        <v>33</v>
      </c>
      <c r="C26" s="31">
        <f>('Financial Statements'!B57)/'Financial Statements'!B48</f>
        <v>0.14513427351812827</v>
      </c>
      <c r="D26" s="31">
        <f>('Financial Statements'!C57)/'Financial Statements'!C48</f>
        <v>0.11590563763081116</v>
      </c>
      <c r="E26" s="31">
        <f>('Financial Statements'!D57)/'Financial Statements'!D48</f>
        <v>9.9055091144009094E-2</v>
      </c>
    </row>
    <row r="27" spans="1:9" x14ac:dyDescent="0.3">
      <c r="A27" s="22">
        <f t="shared" si="2"/>
        <v>3.3000000000000003</v>
      </c>
      <c r="B27" s="1" t="s">
        <v>34</v>
      </c>
      <c r="C27" s="31">
        <f>('Financial Statements'!B57)/('Financial Statements'!B57+'Financial Statements'!B67)</f>
        <v>0.31497281805687805</v>
      </c>
      <c r="D27" s="31">
        <f>('Financial Statements'!C57)/('Financial Statements'!C57+'Financial Statements'!C67)</f>
        <v>0.26067843562990334</v>
      </c>
      <c r="E27" s="31">
        <f>('Financial Statements'!D57)/('Financial Statements'!D57+'Financial Statements'!D67)</f>
        <v>0.2540808177607411</v>
      </c>
    </row>
    <row r="28" spans="1:9" x14ac:dyDescent="0.3">
      <c r="A28" s="22">
        <f t="shared" si="2"/>
        <v>3.4000000000000004</v>
      </c>
      <c r="B28" s="1" t="s">
        <v>35</v>
      </c>
      <c r="C28">
        <f>C21/'Financial Statements'!B21</f>
        <v>116.84959864807773</v>
      </c>
      <c r="D28">
        <f>D21/'Financial Statements'!C21</f>
        <v>136.79657269209508</v>
      </c>
      <c r="E28">
        <f>E21/'Financial Statements'!D21</f>
        <v>127.58834244080145</v>
      </c>
    </row>
    <row r="29" spans="1:9" x14ac:dyDescent="0.3">
      <c r="A29" s="22">
        <f t="shared" si="2"/>
        <v>3.5000000000000004</v>
      </c>
      <c r="B29" s="1" t="s">
        <v>36</v>
      </c>
      <c r="C29">
        <f>'Financial Statements'!B19</f>
        <v>12248</v>
      </c>
      <c r="D29">
        <f>'Financial Statements'!C19</f>
        <v>24879</v>
      </c>
      <c r="E29">
        <f>'Financial Statements'!D19</f>
        <v>22899</v>
      </c>
      <c r="G29" t="s">
        <v>187</v>
      </c>
    </row>
    <row r="30" spans="1:9" x14ac:dyDescent="0.3">
      <c r="A30" s="22">
        <f t="shared" si="2"/>
        <v>3.6000000000000005</v>
      </c>
      <c r="B30" s="1" t="s">
        <v>37</v>
      </c>
      <c r="C30" s="24">
        <f>C31/'Financial Statements'!B32</f>
        <v>0.3939542644027873</v>
      </c>
      <c r="D30" s="24">
        <f>D31/'Financial Statements'!C32</f>
        <v>-1.9768706138183257E-2</v>
      </c>
      <c r="E30" s="24">
        <f>E31/'Financial Statements'!D32</f>
        <v>3.5497251374312841</v>
      </c>
    </row>
    <row r="31" spans="1:9" x14ac:dyDescent="0.3">
      <c r="A31" s="22"/>
      <c r="B31" s="19" t="s">
        <v>38</v>
      </c>
      <c r="C31" s="10">
        <f>'Financial Statements'!B85+'Financial Statements'!B87+'Financial Statements'!B95+'Financial Statements'!B96+'Financial Statements'!B97+'Financial Statements'!B98</f>
        <v>4014</v>
      </c>
      <c r="D31" s="10">
        <f>'Financial Statements'!C85+'Financial Statements'!C87+'Financial Statements'!C95+'Financial Statements'!C96+'Financial Statements'!C97+'Financial Statements'!C98</f>
        <v>-200</v>
      </c>
      <c r="E31" s="10">
        <f>'Financial Statements'!D85+'Financial Statements'!D87+'Financial Statements'!D95+'Financial Statements'!D96+'Financial Statements'!D97+'Financial Statements'!D98</f>
        <v>35515</v>
      </c>
      <c r="G31" t="s">
        <v>188</v>
      </c>
    </row>
    <row r="32" spans="1:9" x14ac:dyDescent="0.3">
      <c r="A32" s="22"/>
    </row>
    <row r="33" spans="1:7" x14ac:dyDescent="0.3">
      <c r="A33" s="22">
        <f>+A24+1</f>
        <v>4</v>
      </c>
      <c r="B33" s="23" t="s">
        <v>39</v>
      </c>
    </row>
    <row r="34" spans="1:7" x14ac:dyDescent="0.3">
      <c r="A34" s="22">
        <f>+A33+0.1</f>
        <v>4.0999999999999996</v>
      </c>
      <c r="B34" s="1" t="s">
        <v>40</v>
      </c>
      <c r="C34" s="24">
        <f>'Financial Statements'!B8/'Financial Statements'!B48</f>
        <v>1.1108942562273734</v>
      </c>
      <c r="D34" s="24">
        <f>'Financial Statements'!C8/'Financial Statements'!C48</f>
        <v>1.1171635172120253</v>
      </c>
      <c r="E34" s="24">
        <f>'Financial Statements'!D8/'Financial Statements'!D48</f>
        <v>1.2028020361462664</v>
      </c>
    </row>
    <row r="35" spans="1:7" x14ac:dyDescent="0.3">
      <c r="A35" s="22">
        <f t="shared" ref="A35:A37" si="3">+A34+0.1</f>
        <v>4.1999999999999993</v>
      </c>
      <c r="B35" s="1" t="s">
        <v>41</v>
      </c>
      <c r="C35" s="24">
        <f>'Financial Statements'!B8/'Financial Statements'!B44</f>
        <v>2.7527675869640897</v>
      </c>
      <c r="D35" s="24">
        <f>'Financial Statements'!C8/'Financial Statements'!C44</f>
        <v>2.9312395106094922</v>
      </c>
      <c r="E35" s="24">
        <f>'Financial Statements'!D8/'Financial Statements'!D44</f>
        <v>3.415439291334406</v>
      </c>
    </row>
    <row r="36" spans="1:7" x14ac:dyDescent="0.3">
      <c r="A36" s="22">
        <f t="shared" si="3"/>
        <v>4.2999999999999989</v>
      </c>
      <c r="B36" s="1" t="s">
        <v>42</v>
      </c>
      <c r="C36" s="24">
        <f>'Financial Statements'!B10/'Financial Statements'!B41</f>
        <v>8.3950297921813686</v>
      </c>
      <c r="D36" s="24">
        <f>'Financial Statements'!C10/'Financial Statements'!C41</f>
        <v>8.3438725490196077</v>
      </c>
      <c r="E36" s="24">
        <f>'Financial Statements'!D10/'Financial Statements'!D41</f>
        <v>9.8048749737339769</v>
      </c>
    </row>
    <row r="37" spans="1:7" x14ac:dyDescent="0.3">
      <c r="A37" s="22">
        <f t="shared" si="3"/>
        <v>4.3999999999999986</v>
      </c>
      <c r="B37" s="1" t="s">
        <v>43</v>
      </c>
      <c r="C37" s="31">
        <f>'Financial Statements'!B27/'Financial Statements'!B48</f>
        <v>-5.8831793375479545E-3</v>
      </c>
      <c r="D37" s="31">
        <f>'Financial Statements'!C27/'Financial Statements'!C48</f>
        <v>7.9334393851846041E-2</v>
      </c>
      <c r="E37" s="31">
        <f>'Financial Statements'!D27/'Financial Statements'!D48</f>
        <v>6.6411370040006856E-2</v>
      </c>
    </row>
    <row r="38" spans="1:7" x14ac:dyDescent="0.3">
      <c r="A38" s="22"/>
    </row>
    <row r="39" spans="1:7" x14ac:dyDescent="0.3">
      <c r="A39" s="22">
        <f>+A33+1</f>
        <v>5</v>
      </c>
      <c r="B39" s="23" t="s">
        <v>44</v>
      </c>
    </row>
    <row r="40" spans="1:7" x14ac:dyDescent="0.3">
      <c r="A40" s="22">
        <f>+A39+0.1</f>
        <v>5.0999999999999996</v>
      </c>
      <c r="B40" s="1" t="s">
        <v>45</v>
      </c>
      <c r="C40" s="24">
        <f>84/C41</f>
        <v>-311.11111111111109</v>
      </c>
      <c r="D40" s="24">
        <f>168.64/D41</f>
        <v>51.103030303030302</v>
      </c>
      <c r="E40" s="24">
        <f>164.29/E41</f>
        <v>77.131455399061039</v>
      </c>
    </row>
    <row r="41" spans="1:7" x14ac:dyDescent="0.3">
      <c r="A41" s="22">
        <f t="shared" ref="A41:A44" si="4">+A40+0.1</f>
        <v>5.1999999999999993</v>
      </c>
      <c r="B41" s="19" t="s">
        <v>46</v>
      </c>
      <c r="C41">
        <f>'Financial Statements'!B29</f>
        <v>-0.27</v>
      </c>
      <c r="D41">
        <f>'Financial Statements'!C29</f>
        <v>3.3</v>
      </c>
      <c r="E41">
        <f>'Financial Statements'!D29</f>
        <v>2.13</v>
      </c>
      <c r="G41" t="s">
        <v>189</v>
      </c>
    </row>
    <row r="42" spans="1:7" x14ac:dyDescent="0.3">
      <c r="A42" s="22">
        <f t="shared" si="4"/>
        <v>5.2999999999999989</v>
      </c>
      <c r="B42" s="1" t="s">
        <v>47</v>
      </c>
      <c r="C42" s="24">
        <f>84/C43</f>
        <v>5.8656149216326696</v>
      </c>
      <c r="D42" s="24">
        <f>168.64/D43</f>
        <v>12.55971239466165</v>
      </c>
      <c r="E42" s="24">
        <f>164.29/E43</f>
        <v>17.937448289152499</v>
      </c>
    </row>
    <row r="43" spans="1:7" x14ac:dyDescent="0.3">
      <c r="A43" s="22">
        <f t="shared" si="4"/>
        <v>5.3999999999999986</v>
      </c>
      <c r="B43" s="19" t="s">
        <v>48</v>
      </c>
      <c r="C43" s="24">
        <f>'Financial Statements'!B67/'Financial Statements'!B33</f>
        <v>14.320749166503235</v>
      </c>
      <c r="D43" s="24">
        <f>'Financial Statements'!C67/'Financial Statements'!C33</f>
        <v>13.427059052059052</v>
      </c>
      <c r="E43" s="24">
        <f>'Financial Statements'!D67/'Financial Statements'!D33</f>
        <v>9.1590507942733872</v>
      </c>
    </row>
    <row r="44" spans="1:7" x14ac:dyDescent="0.3">
      <c r="A44" s="22">
        <f t="shared" si="4"/>
        <v>5.4999999999999982</v>
      </c>
      <c r="B44" s="1" t="s">
        <v>49</v>
      </c>
      <c r="C44">
        <v>0</v>
      </c>
      <c r="D44">
        <v>0</v>
      </c>
      <c r="E44">
        <v>0</v>
      </c>
    </row>
    <row r="45" spans="1:7" x14ac:dyDescent="0.3">
      <c r="A45" s="22"/>
      <c r="B45" s="19" t="s">
        <v>50</v>
      </c>
      <c r="C45">
        <v>0</v>
      </c>
      <c r="D45">
        <v>0</v>
      </c>
      <c r="E45">
        <v>0</v>
      </c>
    </row>
    <row r="46" spans="1:7" x14ac:dyDescent="0.3">
      <c r="A46" s="22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7" x14ac:dyDescent="0.3">
      <c r="A47" s="22">
        <f t="shared" ref="A47:A50" si="5">+A45+0.1</f>
        <v>0.1</v>
      </c>
      <c r="B47" s="1" t="s">
        <v>52</v>
      </c>
      <c r="C47" s="31">
        <f>'Financial Statements'!B27/'Financial Statements'!B67</f>
        <v>-1.8638346240490815E-2</v>
      </c>
      <c r="D47" s="31">
        <f>'Financial Statements'!C27/'Financial Statements'!C67</f>
        <v>0.2413396506202756</v>
      </c>
      <c r="E47" s="31">
        <f>'Financial Statements'!D27/'Financial Statements'!D67</f>
        <v>0.22837351719412444</v>
      </c>
    </row>
    <row r="48" spans="1:7" x14ac:dyDescent="0.3">
      <c r="A48" s="22">
        <f t="shared" si="5"/>
        <v>5.6999999999999975</v>
      </c>
      <c r="B48" s="1" t="s">
        <v>53</v>
      </c>
      <c r="C48">
        <f>C21/C52</f>
        <v>-0.90009502671812858</v>
      </c>
      <c r="D48">
        <f t="shared" ref="D48:E48" si="6">D21/D52</f>
        <v>-0.88925662005943584</v>
      </c>
      <c r="E48">
        <f t="shared" si="6"/>
        <v>-1.0786817925157846</v>
      </c>
    </row>
    <row r="49" spans="1:11" x14ac:dyDescent="0.3">
      <c r="A49" s="22">
        <f t="shared" si="5"/>
        <v>0.2</v>
      </c>
      <c r="B49" s="1" t="s">
        <v>43</v>
      </c>
      <c r="C49" s="31">
        <f>'Financial Statements'!B27/'Financial Statements'!B48</f>
        <v>-5.8831793375479545E-3</v>
      </c>
      <c r="D49" s="31">
        <f>'Financial Statements'!C27/'Financial Statements'!C48</f>
        <v>7.9334393851846041E-2</v>
      </c>
      <c r="E49" s="31">
        <f>'Financial Statements'!D27/'Financial Statements'!D48</f>
        <v>6.6411370040006856E-2</v>
      </c>
    </row>
    <row r="50" spans="1:11" x14ac:dyDescent="0.3">
      <c r="A50" s="22">
        <f t="shared" si="5"/>
        <v>5.7999999999999972</v>
      </c>
      <c r="B50" s="1" t="s">
        <v>54</v>
      </c>
      <c r="C50" s="24">
        <f>C51/C19</f>
        <v>16.058889770902177</v>
      </c>
      <c r="D50" s="24">
        <f t="shared" ref="D50:E50" si="7">D51/D19</f>
        <v>29.485457243053681</v>
      </c>
      <c r="E50" s="24">
        <f t="shared" si="7"/>
        <v>34.633070987333348</v>
      </c>
    </row>
    <row r="51" spans="1:11" x14ac:dyDescent="0.3">
      <c r="A51" s="22"/>
      <c r="B51" s="19" t="s">
        <v>55</v>
      </c>
      <c r="C51" s="10">
        <f>(84*'Financial Statements'!B33)+'Financial Statements'!B57-'Financial Statements'!B39</f>
        <v>869894</v>
      </c>
      <c r="D51" s="10">
        <f>(168.64*'Financial Statements'!C33)+'Financial Statements'!C57-'Financial Statements'!C39</f>
        <v>1748841.44</v>
      </c>
      <c r="E51" s="10">
        <f>(164.29*'Financial Statements'!D33)+'Financial Statements'!D57-'Financial Statements'!D39</f>
        <v>1665123.42</v>
      </c>
    </row>
    <row r="52" spans="1:11" x14ac:dyDescent="0.3">
      <c r="B52" s="1" t="s">
        <v>158</v>
      </c>
      <c r="C52">
        <f>'Financial Statements'!B48-'Financial Statements'!B55</f>
        <v>307282</v>
      </c>
      <c r="D52">
        <f>'Financial Statements'!C48-'Financial Statements'!C55</f>
        <v>278283</v>
      </c>
      <c r="E52">
        <f>'Financial Statements'!D48-'Financial Statements'!D55</f>
        <v>194810</v>
      </c>
      <c r="G52" t="s">
        <v>190</v>
      </c>
    </row>
    <row r="56" spans="1:11" x14ac:dyDescent="0.3">
      <c r="G56" s="37"/>
      <c r="H56" s="37"/>
      <c r="I56" s="37"/>
      <c r="J56" s="37"/>
    </row>
    <row r="57" spans="1:11" x14ac:dyDescent="0.3">
      <c r="F57" s="35" t="s">
        <v>160</v>
      </c>
      <c r="G57" s="35"/>
      <c r="H57" s="35"/>
      <c r="I57" s="35"/>
      <c r="J57" s="35"/>
      <c r="K57" s="35"/>
    </row>
    <row r="58" spans="1:11" x14ac:dyDescent="0.3">
      <c r="F58" s="22">
        <v>1</v>
      </c>
      <c r="G58" s="9" t="s">
        <v>161</v>
      </c>
      <c r="H58">
        <v>2022</v>
      </c>
      <c r="I58">
        <v>2021</v>
      </c>
      <c r="J58">
        <v>2020</v>
      </c>
    </row>
    <row r="59" spans="1:11" x14ac:dyDescent="0.3">
      <c r="F59">
        <v>1.1000000000000001</v>
      </c>
      <c r="G59" s="32" t="s">
        <v>162</v>
      </c>
      <c r="H59" s="31">
        <f>('Financial Statements'!B6/'Financial Statements'!C6)-1</f>
        <v>4.6073610243726471E-3</v>
      </c>
      <c r="I59" s="31">
        <f>('Financial Statements'!C6/'Financial Statements'!D6)-1</f>
        <v>0.11982493110714865</v>
      </c>
      <c r="K59" s="24"/>
    </row>
    <row r="60" spans="1:11" x14ac:dyDescent="0.3">
      <c r="F60">
        <v>1.2</v>
      </c>
      <c r="G60" s="32" t="s">
        <v>66</v>
      </c>
      <c r="H60" s="31">
        <f>('Financial Statements'!B7/'Financial Statements'!C7)-1</f>
        <v>0.18877365316727701</v>
      </c>
      <c r="I60" s="31">
        <f>('Financial Statements'!C7/'Financial Statements'!D7)-1</f>
        <v>0.33808436852698343</v>
      </c>
      <c r="J60" s="24"/>
      <c r="K60" s="24"/>
    </row>
    <row r="61" spans="1:11" x14ac:dyDescent="0.3">
      <c r="F61">
        <v>1.3</v>
      </c>
      <c r="G61" s="32" t="s">
        <v>163</v>
      </c>
      <c r="H61" s="31">
        <f>('Financial Statements'!B8/'Financial Statements'!C8)-1</f>
        <v>9.399517263985091E-2</v>
      </c>
      <c r="I61" s="31">
        <f>('Financial Statements'!C8/'Financial Statements'!D8)-1</f>
        <v>0.21610316461921553</v>
      </c>
      <c r="J61" s="24"/>
      <c r="K61" s="24"/>
    </row>
    <row r="62" spans="1:11" x14ac:dyDescent="0.3">
      <c r="J62" s="24"/>
      <c r="K62" s="24"/>
    </row>
    <row r="63" spans="1:11" x14ac:dyDescent="0.3">
      <c r="F63" s="22">
        <v>2</v>
      </c>
      <c r="G63" s="23" t="s">
        <v>164</v>
      </c>
      <c r="H63" s="31">
        <f>('Financial Statements'!B8-'Financial Statements'!B10)/'Financial Statements'!B8</f>
        <v>0.43805339865326287</v>
      </c>
      <c r="I63" s="31">
        <f>('Financial Statements'!C8-'Financial Statements'!C10)/'Financial Statements'!C8</f>
        <v>0.42032514441639601</v>
      </c>
      <c r="J63" s="31">
        <f>('Financial Statements'!D8-'Financial Statements'!D10)/'Financial Statements'!D8</f>
        <v>0.39610026557331224</v>
      </c>
      <c r="K63" s="24"/>
    </row>
    <row r="64" spans="1:11" x14ac:dyDescent="0.3">
      <c r="F64" s="22"/>
      <c r="J64" s="24"/>
      <c r="K64" s="24"/>
    </row>
    <row r="65" spans="6:11" x14ac:dyDescent="0.3">
      <c r="F65" s="22">
        <v>3</v>
      </c>
      <c r="G65" s="23" t="s">
        <v>70</v>
      </c>
      <c r="J65" s="24"/>
      <c r="K65" s="24"/>
    </row>
    <row r="66" spans="6:11" x14ac:dyDescent="0.3">
      <c r="F66" s="22">
        <v>3.1</v>
      </c>
      <c r="G66" s="32" t="s">
        <v>181</v>
      </c>
      <c r="H66" s="31">
        <f>('Financial Statements'!B13/'Financial Statements'!C13)-1</f>
        <v>0.12232562474204833</v>
      </c>
      <c r="I66" s="31">
        <f>('Financial Statements'!C13/'Financial Statements'!D13)-1</f>
        <v>0.28357571304065488</v>
      </c>
      <c r="K66" s="24"/>
    </row>
    <row r="67" spans="6:11" x14ac:dyDescent="0.3">
      <c r="F67" s="22">
        <v>3.2</v>
      </c>
      <c r="G67" s="32" t="s">
        <v>73</v>
      </c>
      <c r="H67" s="31">
        <f>('Financial Statements'!B14/'Financial Statements'!C14)-1</f>
        <v>0.3061621351602084</v>
      </c>
      <c r="I67" s="31">
        <f>('Financial Statements'!C14/'Financial Statements'!D14)-1</f>
        <v>0.31146467009826861</v>
      </c>
      <c r="K67" s="24"/>
    </row>
    <row r="68" spans="6:11" x14ac:dyDescent="0.3">
      <c r="F68" s="22">
        <v>3.3</v>
      </c>
      <c r="G68" s="32" t="s">
        <v>165</v>
      </c>
      <c r="H68" s="31">
        <f>('Financial Statements'!B18/'Financial Statements'!C18)-1</f>
        <v>0.12763882115237224</v>
      </c>
      <c r="I68" s="31">
        <f>('Financial Statements'!C18/'Financial Statements'!D18)-1</f>
        <v>0.22518139137857451</v>
      </c>
      <c r="K68" s="24"/>
    </row>
    <row r="69" spans="6:11" x14ac:dyDescent="0.3">
      <c r="F69" s="22"/>
      <c r="G69" s="32"/>
    </row>
    <row r="70" spans="6:11" x14ac:dyDescent="0.3">
      <c r="F70" s="22">
        <v>4</v>
      </c>
      <c r="G70" s="23" t="s">
        <v>166</v>
      </c>
    </row>
    <row r="71" spans="6:11" x14ac:dyDescent="0.3">
      <c r="F71" s="22">
        <v>4.0999999999999996</v>
      </c>
      <c r="G71" s="32" t="s">
        <v>167</v>
      </c>
      <c r="H71" s="31">
        <f>('Financial Statements'!B43/'Financial Statements'!C43)-1</f>
        <v>-9.1527416759499935E-2</v>
      </c>
      <c r="I71" s="31">
        <f>('Financial Statements'!C43/'Financial Statements'!D43)-1</f>
        <v>0.21733103297597434</v>
      </c>
      <c r="K71" s="24"/>
    </row>
    <row r="72" spans="6:11" x14ac:dyDescent="0.3">
      <c r="F72" s="22">
        <v>4.2</v>
      </c>
      <c r="G72" s="32" t="s">
        <v>168</v>
      </c>
      <c r="H72" s="31">
        <f>(('Financial Statements'!B48-'Financial Statements'!B43)/('Financial Statements'!C48-'Financial Statements'!C43))-1</f>
        <v>0.21977533990554865</v>
      </c>
      <c r="I72" s="31">
        <f>(('Financial Statements'!C48-'Financial Statements'!C43)/('Financial Statements'!D48-'Financial Statements'!D43))-1</f>
        <v>0.37411785930320174</v>
      </c>
      <c r="K72" s="24"/>
    </row>
    <row r="73" spans="6:11" x14ac:dyDescent="0.3">
      <c r="F73" s="22">
        <v>4.3</v>
      </c>
      <c r="G73" s="32" t="s">
        <v>169</v>
      </c>
      <c r="H73" s="31">
        <f>('Financial Statements'!B48/'Financial Statements'!C48)-1</f>
        <v>0.10016906472254128</v>
      </c>
      <c r="I73" s="31">
        <f>('Financial Statements'!C48/'Financial Statements'!D48)-1</f>
        <v>0.309326110306823</v>
      </c>
      <c r="K73" s="24"/>
    </row>
    <row r="74" spans="6:11" x14ac:dyDescent="0.3">
      <c r="F74" s="22">
        <v>4.4000000000000004</v>
      </c>
      <c r="G74" s="32" t="s">
        <v>170</v>
      </c>
      <c r="H74" s="31">
        <f>('Financial Statements'!B55/'Financial Statements'!C55)-1</f>
        <v>9.2270816639253184E-2</v>
      </c>
      <c r="I74" s="31">
        <f>('Financial Statements'!C55/'Financial Statements'!D55)-1</f>
        <v>0.12565573446215939</v>
      </c>
      <c r="K74" s="24"/>
    </row>
    <row r="75" spans="6:11" x14ac:dyDescent="0.3">
      <c r="F75" s="22">
        <v>4.5</v>
      </c>
      <c r="G75" s="32" t="s">
        <v>171</v>
      </c>
      <c r="H75" s="31">
        <f>(('Financial Statements'!B56+'Financial Statements'!B57+'Financial Statements'!B58)/('Financial Statements'!C56+'Financial Statements'!C57+'Financial Statements'!C58))-1</f>
        <v>0.15139462145988936</v>
      </c>
      <c r="I75" s="31">
        <f>(('Financial Statements'!C56+'Financial Statements'!C57+'Financial Statements'!C58)/('Financial Statements'!D56+'Financial Statements'!D57+'Financial Statements'!D58))-1</f>
        <v>0.38096365106601193</v>
      </c>
      <c r="K75" s="24"/>
    </row>
    <row r="76" spans="6:11" x14ac:dyDescent="0.3">
      <c r="F76" s="22">
        <v>4.5999999999999996</v>
      </c>
      <c r="G76" s="32" t="s">
        <v>172</v>
      </c>
      <c r="H76" s="31">
        <f>('Financial Statements'!B59/'Financial Statements'!C59)-1</f>
        <v>0.12159941056449775</v>
      </c>
      <c r="I76" s="31">
        <f>('Financial Statements'!C59/'Financial Statements'!D59)-1</f>
        <v>0.23931147411442955</v>
      </c>
      <c r="K76" s="24"/>
    </row>
    <row r="77" spans="6:11" x14ac:dyDescent="0.3">
      <c r="F77" s="22">
        <v>4.7</v>
      </c>
      <c r="G77" s="32" t="s">
        <v>173</v>
      </c>
      <c r="H77" s="31">
        <f>('Financial Statements'!B67/'Financial Statements'!C67)-1</f>
        <v>5.6407103331042707E-2</v>
      </c>
      <c r="I77" s="31">
        <f>('Financial Statements'!C67/'Financial Statements'!D67)-1</f>
        <v>0.48007579975161674</v>
      </c>
      <c r="K77" s="24"/>
    </row>
    <row r="78" spans="6:11" x14ac:dyDescent="0.3">
      <c r="F78" s="22">
        <v>4.8</v>
      </c>
      <c r="G78" s="32" t="s">
        <v>174</v>
      </c>
      <c r="H78" s="31">
        <f>('Financial Statements'!B68/'Financial Statements'!C68)-1</f>
        <v>0.10016906472254128</v>
      </c>
      <c r="I78" s="31">
        <f>('Financial Statements'!C68/'Financial Statements'!D68)-1</f>
        <v>0.309326110306823</v>
      </c>
      <c r="K78" s="24"/>
    </row>
    <row r="81" spans="6:11" x14ac:dyDescent="0.3">
      <c r="F81" s="38" t="s">
        <v>175</v>
      </c>
      <c r="G81" s="38"/>
      <c r="H81" s="38"/>
      <c r="I81" s="38"/>
      <c r="J81" s="38"/>
      <c r="K81" s="38"/>
    </row>
    <row r="83" spans="6:11" x14ac:dyDescent="0.3">
      <c r="F83" s="22">
        <v>5</v>
      </c>
      <c r="G83" s="32" t="s">
        <v>176</v>
      </c>
      <c r="H83" s="31">
        <f>('Financial Statements'!B10/'Financial Statements'!B8)</f>
        <v>0.56194660134673713</v>
      </c>
      <c r="I83" s="31">
        <f>('Financial Statements'!C10/'Financial Statements'!C8)</f>
        <v>0.57967485558360399</v>
      </c>
      <c r="J83" s="31">
        <f>('Financial Statements'!D10/'Financial Statements'!D8)</f>
        <v>0.60389973442668776</v>
      </c>
      <c r="K83" s="33"/>
    </row>
    <row r="84" spans="6:11" x14ac:dyDescent="0.3">
      <c r="F84" s="22">
        <v>6</v>
      </c>
      <c r="G84" s="32" t="s">
        <v>177</v>
      </c>
      <c r="H84" s="34">
        <f>('Financial Statements'!B11/'Financial Statements'!B8)</f>
        <v>0.43805339865326287</v>
      </c>
      <c r="I84" s="34">
        <f>('Financial Statements'!C11/'Financial Statements'!C8)</f>
        <v>0.42032514441639601</v>
      </c>
      <c r="J84" s="34">
        <f>('Financial Statements'!D11/'Financial Statements'!D8)</f>
        <v>0.39610026557331224</v>
      </c>
      <c r="K84" s="33"/>
    </row>
    <row r="85" spans="6:11" x14ac:dyDescent="0.3">
      <c r="F85" s="22">
        <v>6</v>
      </c>
      <c r="G85" s="23" t="s">
        <v>178</v>
      </c>
    </row>
    <row r="86" spans="6:11" x14ac:dyDescent="0.3">
      <c r="F86">
        <v>6.1</v>
      </c>
      <c r="G86" s="32" t="s">
        <v>181</v>
      </c>
      <c r="H86" s="31">
        <f>('Financial Statements'!B13/'Financial Statements'!B8)</f>
        <v>0.16401126107283703</v>
      </c>
      <c r="I86" s="31">
        <f>('Financial Statements'!C13/'Financial Statements'!C8)</f>
        <v>0.15987118525739535</v>
      </c>
      <c r="J86" s="31">
        <f>('Financial Statements'!D13/'Financial Statements'!D8)</f>
        <v>0.15146738314515421</v>
      </c>
      <c r="K86" s="33"/>
    </row>
    <row r="87" spans="6:11" x14ac:dyDescent="0.3">
      <c r="F87">
        <v>6.2</v>
      </c>
      <c r="G87" s="32" t="s">
        <v>183</v>
      </c>
      <c r="H87" s="31">
        <f>'Financial Statements'!B14/'Financial Statements'!B8</f>
        <v>0.14244245432241923</v>
      </c>
      <c r="I87" s="31">
        <f>'Financial Statements'!C14/'Financial Statements'!C8</f>
        <v>0.11930475797216818</v>
      </c>
      <c r="J87" s="31">
        <f>'Financial Statements'!D14/'Financial Statements'!D8</f>
        <v>0.1106296624164583</v>
      </c>
      <c r="K87" s="33"/>
    </row>
    <row r="88" spans="6:11" x14ac:dyDescent="0.3">
      <c r="F88" s="22">
        <v>6.3</v>
      </c>
      <c r="G88" s="32" t="s">
        <v>184</v>
      </c>
      <c r="H88" s="31">
        <f>'Financial Statements'!B15/'Financial Statements'!B8</f>
        <v>8.2177815219569517E-2</v>
      </c>
      <c r="I88" s="31">
        <f>'Financial Statements'!C15/'Financial Statements'!C8</f>
        <v>6.9283686161993263E-2</v>
      </c>
      <c r="J88" s="31">
        <f>'Financial Statements'!D15/'Financial Statements'!D8</f>
        <v>5.6966251999565141E-2</v>
      </c>
      <c r="K88" s="33"/>
    </row>
    <row r="89" spans="6:11" x14ac:dyDescent="0.3">
      <c r="F89" s="22">
        <v>7</v>
      </c>
      <c r="G89" s="32" t="s">
        <v>179</v>
      </c>
      <c r="H89" s="31">
        <f>'Financial Statements'!B19/'Financial Statements'!B8</f>
        <v>2.3829581912242232E-2</v>
      </c>
      <c r="I89" s="31">
        <f>'Financial Statements'!C19/'Financial Statements'!C8</f>
        <v>5.2954097509269465E-2</v>
      </c>
      <c r="J89" s="31">
        <f>'Financial Statements'!D19/'Financial Statements'!D8</f>
        <v>5.9272546552982655E-2</v>
      </c>
      <c r="K89" s="33"/>
    </row>
    <row r="90" spans="6:11" x14ac:dyDescent="0.3">
      <c r="F90" s="22">
        <v>8</v>
      </c>
      <c r="G90" s="32" t="s">
        <v>180</v>
      </c>
      <c r="H90" s="31">
        <f>'Financial Statements'!B27/'Financial Statements'!B8</f>
        <v>-5.2958950004183018E-3</v>
      </c>
      <c r="I90" s="31">
        <f>'Financial Statements'!C27/'Financial Statements'!C8</f>
        <v>7.1014128755145567E-2</v>
      </c>
      <c r="J90" s="31">
        <f>'Financial Statements'!D27/'Financial Statements'!D8</f>
        <v>5.5213882288382594E-2</v>
      </c>
      <c r="K90" s="33"/>
    </row>
    <row r="93" spans="6:11" x14ac:dyDescent="0.3">
      <c r="F93" s="35"/>
      <c r="G93" s="35"/>
      <c r="H93" s="35"/>
      <c r="I93" s="35"/>
      <c r="J93" s="35"/>
      <c r="K93" s="35"/>
    </row>
    <row r="94" spans="6:11" x14ac:dyDescent="0.3">
      <c r="F94" s="22"/>
      <c r="G94" s="32"/>
      <c r="H94" s="31"/>
      <c r="I94" s="31"/>
      <c r="J94" s="31"/>
      <c r="K94" s="22"/>
    </row>
    <row r="95" spans="6:11" x14ac:dyDescent="0.3">
      <c r="F95" s="22"/>
      <c r="G95" s="32"/>
      <c r="H95" s="31"/>
      <c r="I95" s="31"/>
      <c r="J95" s="31"/>
      <c r="K95" s="24"/>
    </row>
    <row r="96" spans="6:11" x14ac:dyDescent="0.3">
      <c r="F96" s="22"/>
      <c r="G96" s="32"/>
      <c r="H96" s="24"/>
      <c r="I96" s="24"/>
      <c r="J96" s="24"/>
      <c r="K96" s="24"/>
    </row>
    <row r="97" spans="7:11" x14ac:dyDescent="0.3">
      <c r="G97" s="32"/>
      <c r="K97" s="10"/>
    </row>
  </sheetData>
  <mergeCells count="5">
    <mergeCell ref="C2:E2"/>
    <mergeCell ref="G56:J56"/>
    <mergeCell ref="F57:K57"/>
    <mergeCell ref="F81:K81"/>
    <mergeCell ref="F93:K9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W E 9 T V w e 8 f 1 2 k A A A A 9 g A A A B I A H A B D b 2 5 m a W c v U G F j a 2 F n Z S 5 4 b W w g o h g A K K A U A A A A A A A A A A A A A A A A A A A A A A A A A A A A h Y + 9 D o I w F I V f h X S n f y 6 G X G q i g 4 s k J i b G t S k V G u F i a B H e z c F H 8 h X E K O r m e L 7 z D e f c r z d Y D H U V X W z r X Y M p E Z S T y K J p c o d F S r p w j O d k o W C r z U k X N h p l 9 M n g 8 5 S U I Z w T x v q + p / 2 M N m 3 B J O e C H b L N z p S 2 1 u Q j u / 9 y 7 N A H j c Y S B f v X G C W p k I J K L i k H N k H I H H 6 F s e f P 9 g f C q q t C 1 1 p l M V 4 v g U 0 R 2 P u D e g B Q S w M E F A A C A A g A W E 9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h P U 1 e J I 6 k V m g E A A O g G A A A T A B w A R m 9 y b X V s Y X M v U 2 V j d G l v b j E u b S C i G A A o o B Q A A A A A A A A A A A A A A A A A A A A A A A A A A A D N V M t q w k A U 3 Q f 8 h 2 H c R I j B x D Q J b S 2 I U n A n 1 a 5 M F q O 5 P m A y I 5 k J t h X / v R N f N S U J l r o w m 8 C 5 j 3 P v H M 4 V M J M r z t D o 8 L e e a l p N E 0 u S Q I T q e E y m F F q O i / Q h W Q B y / A Z G H U R B 1 j S k v h F P k x k o Z B j N z X 2 u 0 F 9 X F M w e Z x K Y F D r u P Q b v A h I R 0 C / O e N D n G 0 Y 5 i U T Q j Y l C m n b L t p t d x l J C m 2 + w 5 o k 0 1 9 E c N w w 0 G c R r C r F q Q 7 L J O t g y 2 z h s G A f q 8 2 S d 4 x T b y S D q n A f G 4 W 7 S J 5 K E x / Q 6 7 i 0 J W 6 i l x p 9 r y J b Y Z 5 r j h D A x 5 0 n c 4 z S N W R Y U + q m J s d 3 i A 2 5 h A 0 k V Q x I + 5 M 5 A J 9 w u w d s K H z D p O m b W 8 S L g l B Q 8 l B W 4 J Q V e v m D X O C + q B J C Q y f f G N + J n 0 x F Q J X G G 6 b 8 e w 0 B A Z k s 0 O a 4 U o u c X x F J K E W F R H s W 4 h M Y q 4 c n P k i d y C 4 n c a i L 7 G i L r F k z t a 5 j s v z H V t B U r I S v 0 n X e 3 v v O K f e f d w n f e d b 4 r t E u l 8 X J + u d Q i N 2 O h E v 7 d K u E X K + H f Q g n / f x d w j 7 M 0 n k J y 5 Q k s r q i 6 g Z c V V a J + A 1 B L A Q I t A B Q A A g A I A F h P U 1 c H v H 9 d p A A A A P Y A A A A S A A A A A A A A A A A A A A A A A A A A A A B D b 2 5 m a W c v U G F j a 2 F n Z S 5 4 b W x Q S w E C L Q A U A A I A C A B Y T 1 N X D 8 r p q 6 Q A A A D p A A A A E w A A A A A A A A A A A A A A A A D w A A A A W 0 N v b n R l b n R f V H l w Z X N d L n h t b F B L A Q I t A B Q A A g A I A F h P U 1 e J I 6 k V m g E A A O g G A A A T A A A A A A A A A A A A A A A A A O E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o j A A A A A A A A + C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Q 2 J T I w K F B h Z 2 U l M j A 0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O V Q w O D o 1 O D o x O C 4 5 M T g z N T k x W i I g L z 4 8 R W 5 0 c n k g V H l w Z T 0 i R m l s b E N v b H V t b l R 5 c G V z I i B W Y W x 1 Z T 0 i c 0 J n W U R C Z 0 1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Y g K F B h Z 2 U g N D g p L 0 F 1 d G 9 S Z W 1 v d m V k Q 2 9 s d W 1 u c z E u e 0 N v b H V t b j E s M H 0 m c X V v d D s s J n F 1 b 3 Q 7 U 2 V j d G l v b j E v V G F i b G U w N D Y g K F B h Z 2 U g N D g p L 0 F 1 d G 9 S Z W 1 v d m V k Q 2 9 s d W 1 u c z E u e 0 N v b H V t b j I s M X 0 m c X V v d D s s J n F 1 b 3 Q 7 U 2 V j d G l v b j E v V G F i b G U w N D Y g K F B h Z 2 U g N D g p L 0 F 1 d G 9 S Z W 1 v d m V k Q 2 9 s d W 1 u c z E u e 0 N v b H V t b j M s M n 0 m c X V v d D s s J n F 1 b 3 Q 7 U 2 V j d G l v b j E v V G F i b G U w N D Y g K F B h Z 2 U g N D g p L 0 F 1 d G 9 S Z W 1 v d m V k Q 2 9 s d W 1 u c z E u e 0 N v b H V t b j Q s M 3 0 m c X V v d D s s J n F 1 b 3 Q 7 U 2 V j d G l v b j E v V G F i b G U w N D Y g K F B h Z 2 U g N D g p L 0 F 1 d G 9 S Z W 1 v d m V k Q 2 9 s d W 1 u c z E u e 0 N v b H V t b j U s N H 0 m c X V v d D s s J n F 1 b 3 Q 7 U 2 V j d G l v b j E v V G F i b G U w N D Y g K F B h Z 2 U g N D g p L 0 F 1 d G 9 S Z W 1 v d m V k Q 2 9 s d W 1 u c z E u e 0 N v b H V t b j Y s N X 0 m c X V v d D s s J n F 1 b 3 Q 7 U 2 V j d G l v b j E v V G F i b G U w N D Y g K F B h Z 2 U g N D g p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N D Y g K F B h Z 2 U g N D g p L 0 F 1 d G 9 S Z W 1 v d m V k Q 2 9 s d W 1 u c z E u e 0 N v b H V t b j E s M H 0 m c X V v d D s s J n F 1 b 3 Q 7 U 2 V j d G l v b j E v V G F i b G U w N D Y g K F B h Z 2 U g N D g p L 0 F 1 d G 9 S Z W 1 v d m V k Q 2 9 s d W 1 u c z E u e 0 N v b H V t b j I s M X 0 m c X V v d D s s J n F 1 b 3 Q 7 U 2 V j d G l v b j E v V G F i b G U w N D Y g K F B h Z 2 U g N D g p L 0 F 1 d G 9 S Z W 1 v d m V k Q 2 9 s d W 1 u c z E u e 0 N v b H V t b j M s M n 0 m c X V v d D s s J n F 1 b 3 Q 7 U 2 V j d G l v b j E v V G F i b G U w N D Y g K F B h Z 2 U g N D g p L 0 F 1 d G 9 S Z W 1 v d m V k Q 2 9 s d W 1 u c z E u e 0 N v b H V t b j Q s M 3 0 m c X V v d D s s J n F 1 b 3 Q 7 U 2 V j d G l v b j E v V G F i b G U w N D Y g K F B h Z 2 U g N D g p L 0 F 1 d G 9 S Z W 1 v d m V k Q 2 9 s d W 1 u c z E u e 0 N v b H V t b j U s N H 0 m c X V v d D s s J n F 1 b 3 Q 7 U 2 V j d G l v b j E v V G F i b G U w N D Y g K F B h Z 2 U g N D g p L 0 F 1 d G 9 S Z W 1 v d m V k Q 2 9 s d W 1 u c z E u e 0 N v b H V t b j Y s N X 0 m c X V v d D s s J n F 1 b 3 Q 7 U 2 V j d G l v b j E v V G F i b G U w N D Y g K F B h Z 2 U g N D g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Q 2 J T I w K F B h Z 2 U l M j A 0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U Y W J s Z T A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O V Q w O D o 1 O D o y M S 4 x M z c 3 O T M 4 W i I g L z 4 8 R W 5 0 c n k g V H l w Z T 0 i R m l s b E N v b H V t b l R 5 c G V z I i B W Y W x 1 Z T 0 i c 0 J n T U R B d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N y A o U G F n Z S A 0 O C k v Q X V 0 b 1 J l b W 9 2 Z W R D b 2 x 1 b W 5 z M S 5 7 Q 2 9 s d W 1 u M S w w f S Z x d W 9 0 O y w m c X V v d D t T Z W N 0 a W 9 u M S 9 U Y W J s Z T A 0 N y A o U G F n Z S A 0 O C k v Q X V 0 b 1 J l b W 9 2 Z W R D b 2 x 1 b W 5 z M S 5 7 Q 2 9 s d W 1 u M i w x f S Z x d W 9 0 O y w m c X V v d D t T Z W N 0 a W 9 u M S 9 U Y W J s Z T A 0 N y A o U G F n Z S A 0 O C k v Q X V 0 b 1 J l b W 9 2 Z W R D b 2 x 1 b W 5 z M S 5 7 Q 2 9 s d W 1 u M y w y f S Z x d W 9 0 O y w m c X V v d D t T Z W N 0 a W 9 u M S 9 U Y W J s Z T A 0 N y A o U G F n Z S A 0 O C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0 N y A o U G F n Z S A 0 O C k v Q X V 0 b 1 J l b W 9 2 Z W R D b 2 x 1 b W 5 z M S 5 7 Q 2 9 s d W 1 u M S w w f S Z x d W 9 0 O y w m c X V v d D t T Z W N 0 a W 9 u M S 9 U Y W J s Z T A 0 N y A o U G F n Z S A 0 O C k v Q X V 0 b 1 J l b W 9 2 Z W R D b 2 x 1 b W 5 z M S 5 7 Q 2 9 s d W 1 u M i w x f S Z x d W 9 0 O y w m c X V v d D t T Z W N 0 a W 9 u M S 9 U Y W J s Z T A 0 N y A o U G F n Z S A 0 O C k v Q X V 0 b 1 J l b W 9 2 Z W R D b 2 x 1 b W 5 z M S 5 7 Q 2 9 s d W 1 u M y w y f S Z x d W 9 0 O y w m c X V v d D t T Z W N 0 a W 9 u M S 9 U Y W J s Z T A 0 N y A o U G F n Z S A 0 O C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c l M j A o U G F n Z S U y M D Q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L 1 R h Y m x l M D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Q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4 J T I w K F B h Z 2 U l M j A 0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E 5 V D A 4 O j U 4 O j I x L j E 1 M z Q x N z J a I i A v P j x F b n R y e S B U e X B l P S J G a W x s Q 2 9 s d W 1 u V H l w Z X M i I F Z h b H V l P S J z Q m d Z R k J n V U d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O C A o U G F n Z S A 0 O C k v Q X V 0 b 1 J l b W 9 2 Z W R D b 2 x 1 b W 5 z M S 5 7 Q 2 9 s d W 1 u M S w w f S Z x d W 9 0 O y w m c X V v d D t T Z W N 0 a W 9 u M S 9 U Y W J s Z T A 0 O C A o U G F n Z S A 0 O C k v Q X V 0 b 1 J l b W 9 2 Z W R D b 2 x 1 b W 5 z M S 5 7 Q 2 9 s d W 1 u M i w x f S Z x d W 9 0 O y w m c X V v d D t T Z W N 0 a W 9 u M S 9 U Y W J s Z T A 0 O C A o U G F n Z S A 0 O C k v Q X V 0 b 1 J l b W 9 2 Z W R D b 2 x 1 b W 5 z M S 5 7 Q 2 9 s d W 1 u M y w y f S Z x d W 9 0 O y w m c X V v d D t T Z W N 0 a W 9 u M S 9 U Y W J s Z T A 0 O C A o U G F n Z S A 0 O C k v Q X V 0 b 1 J l b W 9 2 Z W R D b 2 x 1 b W 5 z M S 5 7 Q 2 9 s d W 1 u N C w z f S Z x d W 9 0 O y w m c X V v d D t T Z W N 0 a W 9 u M S 9 U Y W J s Z T A 0 O C A o U G F n Z S A 0 O C k v Q X V 0 b 1 J l b W 9 2 Z W R D b 2 x 1 b W 5 z M S 5 7 Q 2 9 s d W 1 u N S w 0 f S Z x d W 9 0 O y w m c X V v d D t T Z W N 0 a W 9 u M S 9 U Y W J s Z T A 0 O C A o U G F n Z S A 0 O C k v Q X V 0 b 1 J l b W 9 2 Z W R D b 2 x 1 b W 5 z M S 5 7 Q 2 9 s d W 1 u N i w 1 f S Z x d W 9 0 O y w m c X V v d D t T Z W N 0 a W 9 u M S 9 U Y W J s Z T A 0 O C A o U G F n Z S A 0 O C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0 O C A o U G F n Z S A 0 O C k v Q X V 0 b 1 J l b W 9 2 Z W R D b 2 x 1 b W 5 z M S 5 7 Q 2 9 s d W 1 u M S w w f S Z x d W 9 0 O y w m c X V v d D t T Z W N 0 a W 9 u M S 9 U Y W J s Z T A 0 O C A o U G F n Z S A 0 O C k v Q X V 0 b 1 J l b W 9 2 Z W R D b 2 x 1 b W 5 z M S 5 7 Q 2 9 s d W 1 u M i w x f S Z x d W 9 0 O y w m c X V v d D t T Z W N 0 a W 9 u M S 9 U Y W J s Z T A 0 O C A o U G F n Z S A 0 O C k v Q X V 0 b 1 J l b W 9 2 Z W R D b 2 x 1 b W 5 z M S 5 7 Q 2 9 s d W 1 u M y w y f S Z x d W 9 0 O y w m c X V v d D t T Z W N 0 a W 9 u M S 9 U Y W J s Z T A 0 O C A o U G F n Z S A 0 O C k v Q X V 0 b 1 J l b W 9 2 Z W R D b 2 x 1 b W 5 z M S 5 7 Q 2 9 s d W 1 u N C w z f S Z x d W 9 0 O y w m c X V v d D t T Z W N 0 a W 9 u M S 9 U Y W J s Z T A 0 O C A o U G F n Z S A 0 O C k v Q X V 0 b 1 J l b W 9 2 Z W R D b 2 x 1 b W 5 z M S 5 7 Q 2 9 s d W 1 u N S w 0 f S Z x d W 9 0 O y w m c X V v d D t T Z W N 0 a W 9 u M S 9 U Y W J s Z T A 0 O C A o U G F n Z S A 0 O C k v Q X V 0 b 1 J l b W 9 2 Z W R D b 2 x 1 b W 5 z M S 5 7 Q 2 9 s d W 1 u N i w 1 f S Z x d W 9 0 O y w m c X V v d D t T Z W N 0 a W 9 u M S 9 U Y W J s Z T A 0 O C A o U G F n Z S A 0 O C k v Q X V 0 b 1 J l b W 9 2 Z W R D b 2 x 1 b W 5 z M S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g l M j A o U G F n Z S U y M D Q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O C U y M C h Q Y W d l J T I w N D g p L 1 R h Y m x l M D Q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g l M j A o U G F n Z S U y M D Q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q x n N 7 r 8 O t F j 6 4 a 8 3 I p L 0 g A A A A A A g A A A A A A E G Y A A A A B A A A g A A A A u 1 / A c i e F m F o p i 4 + 8 N p t 8 v f Y E i Y o v T J 0 g J u v y q V q h f d o A A A A A D o A A A A A C A A A g A A A A V R t Z E N R U 1 8 m C h b T V a n d 3 1 E G J u N C W S P m C r 3 R o u f x e T q N Q A A A A 3 W 7 L h C v N z z 3 O U v / G A G K R K j v U B H T b f X K F 1 A G z 1 t m P O 1 m R K w 9 h 1 9 8 4 w g E l i m x n v S p e J + V q q Y Z 9 s 7 w V 2 L s E o a v G q Z m N I T 0 4 0 n W k 5 a 0 O 7 H 8 d V U J A A A A A h y N r j 4 + 5 p W X + V h M r K d D 8 v O 4 k r i k 8 q / X 3 l Q U u B J o f 1 z 2 b v y m l G A A / y z S q Y 7 n Z U c J v 8 B S O e + a p s V m f X + M + 8 t z j 2 Q = = < / D a t a M a s h u p > 
</file>

<file path=customXml/itemProps1.xml><?xml version="1.0" encoding="utf-8"?>
<ds:datastoreItem xmlns:ds="http://schemas.openxmlformats.org/officeDocument/2006/customXml" ds:itemID="{80D48FAF-8632-4F60-8C97-A0ECA1F700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2023-10-23T20:04:19Z</dcterms:modified>
</cp:coreProperties>
</file>