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ba/Documents/QCP Investment Analysis Program/"/>
    </mc:Choice>
  </mc:AlternateContent>
  <xr:revisionPtr revIDLastSave="0" documentId="8_{3F00DDA8-B691-E443-A9DA-8581F2799BA9}" xr6:coauthVersionLast="47" xr6:coauthVersionMax="47" xr10:uidLastSave="{00000000-0000-0000-0000-000000000000}"/>
  <bookViews>
    <workbookView xWindow="0" yWindow="0" windowWidth="25600" windowHeight="16000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3" l="1"/>
  <c r="D8" i="3"/>
  <c r="C8" i="3"/>
  <c r="E29" i="3"/>
  <c r="E28" i="3"/>
  <c r="C41" i="3"/>
  <c r="D41" i="3"/>
  <c r="D40" i="3" s="1"/>
  <c r="E41" i="3"/>
  <c r="C40" i="3"/>
  <c r="E40" i="3"/>
  <c r="E31" i="3"/>
  <c r="E30" i="3" s="1"/>
  <c r="D56" i="3"/>
  <c r="E56" i="3"/>
  <c r="D30" i="3"/>
  <c r="C30" i="3"/>
  <c r="D31" i="3"/>
  <c r="C31" i="3"/>
  <c r="E53" i="3"/>
  <c r="E51" i="3" s="1"/>
  <c r="E50" i="3" s="1"/>
  <c r="E49" i="3"/>
  <c r="D49" i="3"/>
  <c r="C49" i="3"/>
  <c r="E37" i="3"/>
  <c r="D37" i="3"/>
  <c r="C37" i="3"/>
  <c r="D53" i="3"/>
  <c r="D42" i="3" s="1"/>
  <c r="C53" i="3"/>
  <c r="C51" i="3" s="1"/>
  <c r="C50" i="3" s="1"/>
  <c r="E48" i="3"/>
  <c r="D48" i="3"/>
  <c r="C48" i="3"/>
  <c r="E47" i="3"/>
  <c r="D47" i="3"/>
  <c r="C47" i="3"/>
  <c r="E43" i="3"/>
  <c r="C43" i="3"/>
  <c r="D43" i="3"/>
  <c r="C42" i="3"/>
  <c r="E36" i="3"/>
  <c r="D36" i="3"/>
  <c r="C36" i="3"/>
  <c r="E35" i="3"/>
  <c r="D35" i="3"/>
  <c r="C35" i="3"/>
  <c r="E34" i="3"/>
  <c r="D34" i="3"/>
  <c r="C34" i="3"/>
  <c r="D29" i="3"/>
  <c r="C29" i="3"/>
  <c r="E27" i="3"/>
  <c r="D27" i="3"/>
  <c r="C27" i="3"/>
  <c r="D28" i="3"/>
  <c r="C28" i="3"/>
  <c r="E26" i="3"/>
  <c r="D26" i="3"/>
  <c r="C26" i="3"/>
  <c r="E25" i="3"/>
  <c r="D25" i="3"/>
  <c r="C25" i="3"/>
  <c r="C19" i="3"/>
  <c r="E19" i="3"/>
  <c r="D19" i="3"/>
  <c r="D18" i="3"/>
  <c r="C18" i="3"/>
  <c r="E22" i="3"/>
  <c r="D22" i="3"/>
  <c r="C22" i="3"/>
  <c r="E20" i="3"/>
  <c r="D20" i="3"/>
  <c r="C20" i="3"/>
  <c r="E18" i="3"/>
  <c r="E17" i="3"/>
  <c r="D17" i="3"/>
  <c r="C17" i="3"/>
  <c r="E12" i="3"/>
  <c r="D12" i="3"/>
  <c r="C12" i="3"/>
  <c r="E11" i="3"/>
  <c r="D11" i="3"/>
  <c r="C11" i="3"/>
  <c r="E10" i="3"/>
  <c r="D10" i="3"/>
  <c r="C10" i="3"/>
  <c r="C9" i="3"/>
  <c r="E9" i="3"/>
  <c r="D9" i="3"/>
  <c r="E13" i="3"/>
  <c r="D13" i="3"/>
  <c r="C13" i="3"/>
  <c r="E14" i="3"/>
  <c r="D14" i="3"/>
  <c r="C14" i="3"/>
  <c r="E7" i="3"/>
  <c r="D7" i="3"/>
  <c r="C7" i="3"/>
  <c r="E6" i="3"/>
  <c r="D6" i="3"/>
  <c r="C6" i="3"/>
  <c r="E5" i="3"/>
  <c r="D5" i="3"/>
  <c r="C5" i="3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D51" i="3" l="1"/>
  <c r="D50" i="3" s="1"/>
  <c r="E42" i="3"/>
  <c r="A33" i="3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<sst xmlns="http://schemas.openxmlformats.org/spreadsheetml/2006/main" count="164" uniqueCount="156">
  <si>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</si>
  <si>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</si>
  <si>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</si>
  <si>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</si>
  <si>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</si>
  <si>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</si>
  <si>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</si>
  <si>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</si>
  <si>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</si>
  <si>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</si>
  <si>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</si>
  <si>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</si>
  <si>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</si>
  <si>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</si>
  <si>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</si>
  <si>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</si>
  <si>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</si>
  <si>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</si>
  <si>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</si>
  <si>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</si>
  <si>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</si>
  <si>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</si>
  <si>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</si>
  <si>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</si>
  <si>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</si>
  <si>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</si>
  <si>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</si>
  <si>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</si>
  <si>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</si>
  <si>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</si>
  <si>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</si>
  <si>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</si>
  <si>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</si>
  <si>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</si>
  <si>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</si>
  <si>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</si>
  <si>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</si>
  <si>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</si>
  <si>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</si>
  <si>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</si>
  <si>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</si>
  <si>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</si>
  <si>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</si>
  <si>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</si>
  <si>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</si>
  <si>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</si>
  <si>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</si>
  <si>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</si>
  <si>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</si>
  <si>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</si>
  <si>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</si>
  <si>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</si>
  <si>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</si>
  <si>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</si>
  <si>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</si>
  <si>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 xml:space="preserve">Years ended </t>
  </si>
  <si>
    <t xml:space="preserve">As at 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</si>
  <si>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</si>
  <si>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</si>
  <si>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</si>
  <si>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</si>
  <si>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Amazon Inc.</t>
  </si>
  <si>
    <t xml:space="preserve">Net product sales </t>
  </si>
  <si>
    <t xml:space="preserve">Net service sales </t>
  </si>
  <si>
    <t xml:space="preserve">Operating expenses: </t>
  </si>
  <si>
    <t xml:space="preserve">Cost of sales </t>
  </si>
  <si>
    <t xml:space="preserve">Fulfillment </t>
  </si>
  <si>
    <t xml:space="preserve">Technology and content </t>
  </si>
  <si>
    <t xml:space="preserve">Sales and marketing </t>
  </si>
  <si>
    <t xml:space="preserve">General and administrative </t>
  </si>
  <si>
    <t xml:space="preserve">Other operating expense (income), net </t>
  </si>
  <si>
    <t xml:space="preserve">Total operating expenses </t>
  </si>
  <si>
    <t xml:space="preserve">Interest income </t>
  </si>
  <si>
    <t xml:space="preserve">Interest expense </t>
  </si>
  <si>
    <t xml:space="preserve">Other income (expense), net </t>
  </si>
  <si>
    <t xml:space="preserve">Total non-operating income (expense) </t>
  </si>
  <si>
    <t xml:space="preserve">Income (loss) before income taxes </t>
  </si>
  <si>
    <t xml:space="preserve">Benefit (provision) for income taxes </t>
  </si>
  <si>
    <t xml:space="preserve">Equity-method investment activity, net of tax </t>
  </si>
  <si>
    <t xml:space="preserve">Basic earnings per share </t>
  </si>
  <si>
    <t xml:space="preserve">Diluted earnings per share </t>
  </si>
  <si>
    <t xml:space="preserve">Weighted-average shares used in computation of earnings per share: </t>
  </si>
  <si>
    <t xml:space="preserve">Basic </t>
  </si>
  <si>
    <t xml:space="preserve">Diluted </t>
  </si>
  <si>
    <t xml:space="preserve">Net Income (loss) </t>
  </si>
  <si>
    <t xml:space="preserve">Operating Income </t>
  </si>
  <si>
    <t>Current Assets:</t>
  </si>
  <si>
    <t>Cash and Cash Equivalents</t>
  </si>
  <si>
    <t>Marketable Securities</t>
  </si>
  <si>
    <t>Inventories</t>
  </si>
  <si>
    <t>Accounts receivable, net and other</t>
  </si>
  <si>
    <t>Property and equipment, net</t>
  </si>
  <si>
    <t>Operating leases</t>
  </si>
  <si>
    <t>Goodwill</t>
  </si>
  <si>
    <t>Other assets</t>
  </si>
  <si>
    <t>Total assets</t>
  </si>
  <si>
    <t>Current Liabilities:</t>
  </si>
  <si>
    <t>Accounts payable</t>
  </si>
  <si>
    <t>Accrued expenses and other</t>
  </si>
  <si>
    <t>Unearned revenue</t>
  </si>
  <si>
    <t>Total current liabilities</t>
  </si>
  <si>
    <t>Long-term lease liabilities</t>
  </si>
  <si>
    <t>Long-term debt</t>
  </si>
  <si>
    <t>Other long-term liabilities</t>
  </si>
  <si>
    <t>Stockholders' equity:</t>
  </si>
  <si>
    <t>Preferred stock</t>
  </si>
  <si>
    <t>Common stock</t>
  </si>
  <si>
    <t>Treasury stock, at cost</t>
  </si>
  <si>
    <t>Additional paid-in capital</t>
  </si>
  <si>
    <t>Accumulated other comprehensive income (loss)</t>
  </si>
  <si>
    <t>Retained earnings</t>
  </si>
  <si>
    <t>Total stockholders' equity</t>
  </si>
  <si>
    <t>Total liabilities and stockholders' equity</t>
  </si>
  <si>
    <t>Total current assets</t>
  </si>
  <si>
    <t>Commitments and contingencies (Note 7)</t>
  </si>
  <si>
    <t xml:space="preserve">Total net sales </t>
  </si>
  <si>
    <t>CASH, CASH EQUIVALENTS AND RESTRICTED CASH, BEGINNING OF PERIOD</t>
  </si>
  <si>
    <t>OPERATING ACTIVITIES:</t>
  </si>
  <si>
    <t>Net income (loss)</t>
  </si>
  <si>
    <t>Adjustments to reconcile net income (loss) to net cash from operating activities</t>
  </si>
  <si>
    <t>Stock-based compensation</t>
  </si>
  <si>
    <t>Other expense (income), net</t>
  </si>
  <si>
    <t>Deferred income taxes</t>
  </si>
  <si>
    <t>Changes in operating assets and liabilities:</t>
  </si>
  <si>
    <t>Net cash provided by (used in) operating activities</t>
  </si>
  <si>
    <t>INVESTING ACTIVITIES:</t>
  </si>
  <si>
    <t>Purchases of property and equipment</t>
  </si>
  <si>
    <t xml:space="preserve">Proceeds from property and equipment </t>
  </si>
  <si>
    <t>Acquisitions, net of cash acquired, and other</t>
  </si>
  <si>
    <t>Sales and maturities of marketable securities</t>
  </si>
  <si>
    <t>Net cash provided by (used in) investing activities</t>
  </si>
  <si>
    <t>FINANCING ACTIVITIES:</t>
  </si>
  <si>
    <t>Common stock repurchased</t>
  </si>
  <si>
    <t>Proceeds from short-term debt, and other</t>
  </si>
  <si>
    <t>Repayments of short-term debt, and other</t>
  </si>
  <si>
    <t>Proceeds from long-term debt</t>
  </si>
  <si>
    <t>Repayments of long-term debt</t>
  </si>
  <si>
    <t>Principal repayments of finance leases</t>
  </si>
  <si>
    <t>Principal repayments of financing obligations</t>
  </si>
  <si>
    <t>Net cash provided by (used in) financing activities</t>
  </si>
  <si>
    <t>Net increase (decrease) in cash, cash equivalents, and restricted cash</t>
  </si>
  <si>
    <t>CASH, CASH EQUIVALENTS AND RESTRICTED CASH, END OF PERIOD</t>
  </si>
  <si>
    <t>Depreciation and amortization of property and equipment and other</t>
  </si>
  <si>
    <t>Purchases of marketable securities</t>
  </si>
  <si>
    <t>Foreign currency effect on cash, cash equivalents, and restricted cash</t>
  </si>
  <si>
    <t>2020 (reference)</t>
  </si>
  <si>
    <t>Amazon Inc: Ratio Analysis</t>
  </si>
  <si>
    <t>Market Capitalisation ($)</t>
  </si>
  <si>
    <t>Year-End Share Price ($)</t>
  </si>
  <si>
    <t>Price-to-earnings (P/E)</t>
  </si>
  <si>
    <t>Revenue Growth (2021/22)</t>
  </si>
  <si>
    <t>Feedback</t>
  </si>
  <si>
    <t>Share price/EPS (updated)</t>
  </si>
  <si>
    <t>Link it to Diluted EPS in Income statement sheet (updated)</t>
  </si>
  <si>
    <t>change the negative sign by linking interest expense with - sign (updated)</t>
  </si>
  <si>
    <t>Add Cost of sales  to the daily operating costs (updated)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</si>
</sst>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£&quot;* #,##0.00_);_(&quot;£&quot;* \(#,##0.00\);_(&quot;£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[$$-409]* #,##0_);_([$$-409]* \(#,##0\);_([$$-409]* &quot;-&quot;??_);_(@_)"/>
    <numFmt numFmtId="167" formatCode="_([$$-409]* #,##0.00_);_([$$-409]* \(#,##0.00\);_([$$-409]* &quot;-&quot;??_);_(@_)"/>
    <numFmt numFmtId="168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6"/>
      <color theme="0"/>
      <name val="Calibri"/>
      <family val="2"/>
      <scheme val="minor"/>
    </font>
    <font>
      <sz val="11"/>
      <color rgb="FF92D050"/>
      <name val="Calibri (Body)"/>
    </font>
    <font>
      <sz val="11"/>
      <color rgb="FF92D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4" fontId="0" fillId="0" borderId="0" xfId="1" applyNumberFormat="1" applyFont="1"/>
    <xf numFmtId="0" fontId="2" fillId="0" borderId="1" xfId="0" applyFont="1" applyBorder="1"/>
    <xf numFmtId="164" fontId="2" fillId="0" borderId="0" xfId="1" applyNumberFormat="1" applyFont="1"/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164" fontId="8" fillId="0" borderId="0" xfId="1" applyNumberFormat="1" applyFont="1" applyAlignment="1">
      <alignment horizontal="right" vertical="center"/>
    </xf>
    <xf numFmtId="164" fontId="8" fillId="0" borderId="1" xfId="1" applyNumberFormat="1" applyFont="1" applyBorder="1" applyAlignment="1">
      <alignment horizontal="right" vertical="center"/>
    </xf>
    <xf numFmtId="164" fontId="1" fillId="0" borderId="0" xfId="1" applyNumberFormat="1" applyFont="1" applyAlignment="1">
      <alignment horizontal="right" vertical="center"/>
    </xf>
    <xf numFmtId="164" fontId="1" fillId="0" borderId="1" xfId="1" applyNumberFormat="1" applyFont="1" applyBorder="1" applyAlignment="1">
      <alignment horizontal="right" vertical="center"/>
    </xf>
    <xf numFmtId="0" fontId="0" fillId="0" borderId="3" xfId="0" applyBorder="1"/>
    <xf numFmtId="164" fontId="8" fillId="0" borderId="0" xfId="1" applyNumberFormat="1" applyFont="1" applyBorder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164" fontId="2" fillId="0" borderId="0" xfId="1" applyNumberFormat="1" applyFont="1" applyBorder="1"/>
    <xf numFmtId="0" fontId="8" fillId="0" borderId="0" xfId="0" applyFont="1"/>
    <xf numFmtId="0" fontId="9" fillId="0" borderId="4" xfId="0" applyFont="1" applyBorder="1"/>
    <xf numFmtId="0" fontId="9" fillId="0" borderId="1" xfId="0" applyFont="1" applyBorder="1"/>
    <xf numFmtId="0" fontId="8" fillId="0" borderId="1" xfId="0" applyFont="1" applyBorder="1"/>
    <xf numFmtId="0" fontId="9" fillId="0" borderId="6" xfId="0" applyFont="1" applyBorder="1"/>
    <xf numFmtId="0" fontId="8" fillId="0" borderId="0" xfId="0" applyFont="1" applyAlignment="1">
      <alignment horizontal="center"/>
    </xf>
    <xf numFmtId="0" fontId="9" fillId="0" borderId="0" xfId="0" applyFont="1"/>
    <xf numFmtId="164" fontId="0" fillId="0" borderId="0" xfId="1" applyNumberFormat="1" applyFont="1" applyBorder="1"/>
    <xf numFmtId="164" fontId="2" fillId="0" borderId="8" xfId="1" applyNumberFormat="1" applyFont="1" applyBorder="1" applyAlignment="1">
      <alignment horizontal="right" vertical="center"/>
    </xf>
    <xf numFmtId="164" fontId="1" fillId="0" borderId="0" xfId="1" applyNumberFormat="1" applyFont="1" applyFill="1" applyBorder="1" applyAlignment="1">
      <alignment horizontal="right" vertical="center"/>
    </xf>
    <xf numFmtId="164" fontId="0" fillId="0" borderId="0" xfId="1" applyNumberFormat="1" applyFont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8" xfId="0" applyFont="1" applyBorder="1"/>
    <xf numFmtId="43" fontId="8" fillId="4" borderId="1" xfId="1" applyFont="1" applyFill="1" applyBorder="1" applyAlignment="1">
      <alignment horizontal="right" vertical="center"/>
    </xf>
    <xf numFmtId="43" fontId="0" fillId="4" borderId="1" xfId="1" applyFont="1" applyFill="1" applyBorder="1" applyAlignment="1">
      <alignment horizontal="right" vertical="center"/>
    </xf>
    <xf numFmtId="43" fontId="8" fillId="0" borderId="0" xfId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0" fontId="0" fillId="0" borderId="0" xfId="3" applyNumberFormat="1" applyFont="1" applyAlignment="1">
      <alignment horizontal="center"/>
    </xf>
    <xf numFmtId="164" fontId="9" fillId="0" borderId="0" xfId="1" applyNumberFormat="1" applyFont="1" applyAlignment="1">
      <alignment horizontal="right" vertical="center"/>
    </xf>
    <xf numFmtId="164" fontId="2" fillId="0" borderId="0" xfId="1" applyNumberFormat="1" applyFont="1" applyAlignment="1">
      <alignment horizontal="right" vertical="center"/>
    </xf>
    <xf numFmtId="166" fontId="9" fillId="0" borderId="2" xfId="1" applyNumberFormat="1" applyFont="1" applyBorder="1" applyAlignment="1">
      <alignment horizontal="right" vertical="center"/>
    </xf>
    <xf numFmtId="166" fontId="2" fillId="0" borderId="4" xfId="1" applyNumberFormat="1" applyFont="1" applyBorder="1" applyAlignment="1">
      <alignment horizontal="right" vertical="center"/>
    </xf>
    <xf numFmtId="166" fontId="9" fillId="0" borderId="5" xfId="1" applyNumberFormat="1" applyFont="1" applyBorder="1" applyAlignment="1">
      <alignment horizontal="right" vertical="center"/>
    </xf>
    <xf numFmtId="166" fontId="2" fillId="0" borderId="2" xfId="1" applyNumberFormat="1" applyFont="1" applyBorder="1" applyAlignment="1">
      <alignment horizontal="right" vertical="center"/>
    </xf>
    <xf numFmtId="166" fontId="9" fillId="4" borderId="7" xfId="1" applyNumberFormat="1" applyFont="1" applyFill="1" applyBorder="1" applyAlignment="1">
      <alignment horizontal="right" vertical="center"/>
    </xf>
    <xf numFmtId="166" fontId="9" fillId="4" borderId="1" xfId="1" applyNumberFormat="1" applyFont="1" applyFill="1" applyBorder="1" applyAlignment="1">
      <alignment horizontal="right" vertical="center"/>
    </xf>
    <xf numFmtId="166" fontId="2" fillId="4" borderId="2" xfId="1" applyNumberFormat="1" applyFont="1" applyFill="1" applyBorder="1" applyAlignment="1">
      <alignment horizontal="right" vertical="center"/>
    </xf>
    <xf numFmtId="2" fontId="0" fillId="0" borderId="0" xfId="3" applyNumberFormat="1" applyFont="1" applyAlignment="1">
      <alignment horizontal="center"/>
    </xf>
    <xf numFmtId="0" fontId="1" fillId="0" borderId="0" xfId="1" applyNumberFormat="1" applyFont="1" applyBorder="1" applyAlignment="1">
      <alignment horizontal="center" vertical="center"/>
    </xf>
    <xf numFmtId="164" fontId="1" fillId="0" borderId="0" xfId="1" applyNumberFormat="1" applyFont="1" applyBorder="1"/>
    <xf numFmtId="164" fontId="2" fillId="0" borderId="8" xfId="1" applyNumberFormat="1" applyFont="1" applyBorder="1"/>
    <xf numFmtId="9" fontId="0" fillId="0" borderId="0" xfId="3" applyFont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0" xfId="4" applyNumberFormat="1" applyFont="1"/>
    <xf numFmtId="168" fontId="0" fillId="0" borderId="0" xfId="3" applyNumberFormat="1" applyFont="1"/>
    <xf numFmtId="0" fontId="10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11" fillId="0" borderId="0" xfId="0" applyFont="1"/>
    <xf numFmtId="0" fontId="12" fillId="0" borderId="0" xfId="0" applyFont="1"/>
  </cellXfs>
  <cellStyles count="5">
    <cellStyle name="Comma" xfId="1" builtinId="3"/>
    <cellStyle name="Currency" xfId="4" builtinId="4"/>
    <cellStyle name="Hyperlink" xfId="2" builtinId="8"/>
    <cellStyle name="Normal" xfId="0" builtinId="0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5" sqref="A5"/>
    </sheetView>
  </sheetViews>
  <sheetFormatPr baseColWidth="10" defaultColWidth="8.83203125" defaultRowHeight="15" x14ac:dyDescent="0.2"/>
  <cols>
    <col min="1" max="1" width="157.83203125" style="2" customWidth="1"/>
  </cols>
  <sheetData>
    <row r="1" spans="1:1" ht="25" x14ac:dyDescent="0.3">
      <c r="A1" s="3" t="s">
        <v>0</v>
      </c>
    </row>
    <row r="3" spans="1:1" ht="16" x14ac:dyDescent="0.2">
      <c r="A3" s="2" t="s">
        <v>60</v>
      </c>
    </row>
    <row r="4" spans="1:1" ht="16" x14ac:dyDescent="0.2">
      <c r="A4" s="5" t="s">
        <v>5</v>
      </c>
    </row>
    <row r="5" spans="1:1" ht="16" x14ac:dyDescent="0.2">
      <c r="A5" s="6" t="s">
        <v>1</v>
      </c>
    </row>
    <row r="7" spans="1:1" ht="16" x14ac:dyDescent="0.2">
      <c r="A7" s="2" t="s">
        <v>58</v>
      </c>
    </row>
    <row r="8" spans="1:1" ht="16" x14ac:dyDescent="0.2">
      <c r="A8" s="2" t="s">
        <v>59</v>
      </c>
    </row>
    <row r="9" spans="1:1" ht="16" x14ac:dyDescent="0.2">
      <c r="A9" s="2" t="s">
        <v>2</v>
      </c>
    </row>
    <row r="10" spans="1:1" ht="16" x14ac:dyDescent="0.2">
      <c r="A10" s="2" t="s">
        <v>6</v>
      </c>
    </row>
    <row r="11" spans="1:1" ht="16" x14ac:dyDescent="0.2">
      <c r="A11" s="2" t="s">
        <v>4</v>
      </c>
    </row>
    <row r="13" spans="1:1" ht="16" x14ac:dyDescent="0.2">
      <c r="A13" s="4" t="s">
        <v>3</v>
      </c>
    </row>
    <row r="14" spans="1:1" ht="16" x14ac:dyDescent="0.2">
      <c r="A14" s="2" t="s">
        <v>7</v>
      </c>
    </row>
    <row r="15" spans="1:1" ht="16" x14ac:dyDescent="0.2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P117"/>
  <sheetViews>
    <sheetView zoomScaleNormal="100" workbookViewId="0">
      <selection activeCell="B26" sqref="B26:D26"/>
    </sheetView>
  </sheetViews>
  <sheetFormatPr baseColWidth="10" defaultColWidth="8.83203125" defaultRowHeight="15" x14ac:dyDescent="0.2"/>
  <cols>
    <col min="1" max="1" width="70.6640625" customWidth="1"/>
    <col min="2" max="3" width="13.5" bestFit="1" customWidth="1"/>
    <col min="4" max="4" width="13.1640625" bestFit="1" customWidth="1"/>
  </cols>
  <sheetData>
    <row r="1" spans="1:10" ht="60" customHeight="1" x14ac:dyDescent="0.2">
      <c r="A1" s="7" t="s">
        <v>61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2">
      <c r="A2" s="73" t="s">
        <v>10</v>
      </c>
      <c r="B2" s="73"/>
      <c r="C2" s="73"/>
      <c r="D2" s="73"/>
    </row>
    <row r="3" spans="1:10" x14ac:dyDescent="0.2">
      <c r="B3" s="72" t="s">
        <v>55</v>
      </c>
      <c r="C3" s="72"/>
      <c r="D3" s="72"/>
    </row>
    <row r="4" spans="1:10" x14ac:dyDescent="0.2">
      <c r="B4" s="38">
        <v>2020</v>
      </c>
      <c r="C4" s="38">
        <v>2021</v>
      </c>
      <c r="D4" s="38">
        <v>2022</v>
      </c>
    </row>
    <row r="5" spans="1:10" x14ac:dyDescent="0.2">
      <c r="A5" s="27" t="s">
        <v>62</v>
      </c>
      <c r="B5" s="19">
        <v>215915</v>
      </c>
      <c r="C5" s="19">
        <v>241787</v>
      </c>
      <c r="D5" s="37">
        <v>242901</v>
      </c>
    </row>
    <row r="6" spans="1:10" x14ac:dyDescent="0.2">
      <c r="A6" s="27" t="s">
        <v>63</v>
      </c>
      <c r="B6" s="19">
        <v>170149</v>
      </c>
      <c r="C6" s="19">
        <v>228035</v>
      </c>
      <c r="D6" s="21">
        <v>271082</v>
      </c>
    </row>
    <row r="7" spans="1:10" x14ac:dyDescent="0.2">
      <c r="A7" s="28" t="s">
        <v>115</v>
      </c>
      <c r="B7" s="56">
        <v>386064</v>
      </c>
      <c r="C7" s="56">
        <v>469822</v>
      </c>
      <c r="D7" s="57">
        <v>513983</v>
      </c>
    </row>
    <row r="8" spans="1:10" x14ac:dyDescent="0.2">
      <c r="A8" s="33" t="s">
        <v>64</v>
      </c>
      <c r="B8" s="20"/>
      <c r="C8" s="20"/>
      <c r="D8" s="22"/>
    </row>
    <row r="9" spans="1:10" x14ac:dyDescent="0.2">
      <c r="A9" s="27" t="s">
        <v>65</v>
      </c>
      <c r="B9" s="19">
        <v>233307</v>
      </c>
      <c r="C9" s="19">
        <v>272344</v>
      </c>
      <c r="D9" s="21">
        <v>288831</v>
      </c>
    </row>
    <row r="10" spans="1:10" x14ac:dyDescent="0.2">
      <c r="A10" s="27" t="s">
        <v>66</v>
      </c>
      <c r="B10" s="19">
        <v>58517</v>
      </c>
      <c r="C10" s="19">
        <v>75111</v>
      </c>
      <c r="D10" s="21">
        <v>84299</v>
      </c>
    </row>
    <row r="11" spans="1:10" x14ac:dyDescent="0.2">
      <c r="A11" s="27" t="s">
        <v>67</v>
      </c>
      <c r="B11" s="19">
        <v>42740</v>
      </c>
      <c r="C11" s="19">
        <v>56052</v>
      </c>
      <c r="D11" s="21">
        <v>73213</v>
      </c>
    </row>
    <row r="12" spans="1:10" x14ac:dyDescent="0.2">
      <c r="A12" s="27" t="s">
        <v>68</v>
      </c>
      <c r="B12" s="19">
        <v>22008</v>
      </c>
      <c r="C12" s="19">
        <v>32551</v>
      </c>
      <c r="D12" s="25">
        <v>42238</v>
      </c>
    </row>
    <row r="13" spans="1:10" x14ac:dyDescent="0.2">
      <c r="A13" s="27" t="s">
        <v>69</v>
      </c>
      <c r="B13" s="19">
        <v>6668</v>
      </c>
      <c r="C13" s="19">
        <v>8823</v>
      </c>
      <c r="D13" s="25">
        <v>11891</v>
      </c>
    </row>
    <row r="14" spans="1:10" x14ac:dyDescent="0.2">
      <c r="A14" s="27" t="s">
        <v>70</v>
      </c>
      <c r="B14" s="19">
        <v>-75</v>
      </c>
      <c r="C14" s="19">
        <v>62</v>
      </c>
      <c r="D14" s="21">
        <v>1262</v>
      </c>
    </row>
    <row r="15" spans="1:10" x14ac:dyDescent="0.2">
      <c r="A15" s="33" t="s">
        <v>71</v>
      </c>
      <c r="B15" s="54">
        <v>363165</v>
      </c>
      <c r="C15" s="54">
        <v>444943</v>
      </c>
      <c r="D15" s="55">
        <v>501735</v>
      </c>
    </row>
    <row r="16" spans="1:10" x14ac:dyDescent="0.2">
      <c r="A16" s="29" t="s">
        <v>85</v>
      </c>
      <c r="B16" s="58">
        <v>22899</v>
      </c>
      <c r="C16" s="56">
        <v>24879</v>
      </c>
      <c r="D16" s="59">
        <v>12248</v>
      </c>
      <c r="E16" s="23"/>
    </row>
    <row r="17" spans="1:458" x14ac:dyDescent="0.2">
      <c r="A17" s="30" t="s">
        <v>72</v>
      </c>
      <c r="B17" s="20">
        <v>555</v>
      </c>
      <c r="C17" s="20">
        <v>448</v>
      </c>
      <c r="D17" s="22">
        <v>989</v>
      </c>
    </row>
    <row r="18" spans="1:458" s="11" customFormat="1" x14ac:dyDescent="0.2">
      <c r="A18" s="27" t="s">
        <v>73</v>
      </c>
      <c r="B18" s="24">
        <v>1647</v>
      </c>
      <c r="C18" s="24">
        <v>1809</v>
      </c>
      <c r="D18" s="25">
        <v>-2367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  <c r="IV18" s="9"/>
      <c r="IW18" s="9"/>
      <c r="IX18" s="9"/>
      <c r="IY18" s="9"/>
      <c r="IZ18" s="9"/>
      <c r="JA18" s="9"/>
      <c r="JB18" s="9"/>
      <c r="JC18" s="9"/>
      <c r="JD18" s="9"/>
      <c r="JE18" s="9"/>
      <c r="JF18" s="9"/>
      <c r="JG18" s="9"/>
      <c r="JH18" s="9"/>
      <c r="JI18" s="9"/>
      <c r="JJ18" s="9"/>
      <c r="JK18" s="9"/>
      <c r="JL18" s="9"/>
      <c r="JM18" s="9"/>
      <c r="JN18" s="9"/>
      <c r="JO18" s="9"/>
      <c r="JP18" s="9"/>
      <c r="JQ18" s="9"/>
      <c r="JR18" s="9"/>
      <c r="JS18" s="9"/>
      <c r="JT18" s="9"/>
      <c r="JU18" s="9"/>
      <c r="JV18" s="9"/>
      <c r="JW18" s="9"/>
      <c r="JX18" s="9"/>
      <c r="JY18" s="9"/>
      <c r="JZ18" s="9"/>
      <c r="KA18" s="9"/>
      <c r="KB18" s="9"/>
      <c r="KC18" s="9"/>
      <c r="KD18" s="9"/>
      <c r="KE18" s="9"/>
      <c r="KF18" s="9"/>
      <c r="KG18" s="9"/>
      <c r="KH18" s="9"/>
      <c r="KI18" s="9"/>
      <c r="KJ18" s="9"/>
      <c r="KK18" s="9"/>
      <c r="KL18" s="9"/>
      <c r="KM18" s="9"/>
      <c r="KN18" s="9"/>
      <c r="KO18" s="9"/>
      <c r="KP18" s="9"/>
      <c r="KQ18" s="9"/>
      <c r="KR18" s="9"/>
      <c r="KS18" s="9"/>
      <c r="KT18" s="9"/>
      <c r="KU18" s="9"/>
      <c r="KV18" s="9"/>
      <c r="KW18" s="9"/>
      <c r="KX18" s="9"/>
      <c r="KY18" s="9"/>
      <c r="KZ18" s="9"/>
      <c r="LA18" s="9"/>
      <c r="LB18" s="9"/>
      <c r="LC18" s="9"/>
      <c r="LD18" s="9"/>
      <c r="LE18" s="9"/>
      <c r="LF18" s="9"/>
      <c r="LG18" s="9"/>
      <c r="LH18" s="9"/>
      <c r="LI18" s="9"/>
      <c r="LJ18" s="9"/>
      <c r="LK18" s="9"/>
      <c r="LL18" s="9"/>
      <c r="LM18" s="9"/>
      <c r="LN18" s="9"/>
      <c r="LO18" s="9"/>
      <c r="LP18" s="9"/>
      <c r="LQ18" s="9"/>
      <c r="LR18" s="9"/>
      <c r="LS18" s="9"/>
      <c r="LT18" s="9"/>
      <c r="LU18" s="9"/>
      <c r="LV18" s="9"/>
      <c r="LW18" s="9"/>
      <c r="LX18" s="9"/>
      <c r="LY18" s="9"/>
      <c r="LZ18" s="9"/>
      <c r="MA18" s="9"/>
      <c r="MB18" s="9"/>
      <c r="MC18" s="9"/>
      <c r="MD18" s="9"/>
      <c r="ME18" s="9"/>
      <c r="MF18" s="9"/>
      <c r="MG18" s="9"/>
      <c r="MH18" s="9"/>
      <c r="MI18" s="9"/>
      <c r="MJ18" s="9"/>
      <c r="MK18" s="9"/>
      <c r="ML18" s="9"/>
      <c r="MM18" s="9"/>
      <c r="MN18" s="9"/>
      <c r="MO18" s="9"/>
      <c r="MP18" s="9"/>
      <c r="MQ18" s="9"/>
      <c r="MR18" s="9"/>
      <c r="MS18" s="9"/>
      <c r="MT18" s="9"/>
      <c r="MU18" s="9"/>
      <c r="MV18" s="9"/>
      <c r="MW18" s="9"/>
      <c r="MX18" s="9"/>
      <c r="MY18" s="9"/>
      <c r="MZ18" s="9"/>
      <c r="NA18" s="9"/>
      <c r="NB18" s="9"/>
      <c r="NC18" s="9"/>
      <c r="ND18" s="9"/>
      <c r="NE18" s="9"/>
      <c r="NF18" s="9"/>
      <c r="NG18" s="9"/>
      <c r="NH18" s="9"/>
      <c r="NI18" s="9"/>
      <c r="NJ18" s="9"/>
      <c r="NK18" s="9"/>
      <c r="NL18" s="9"/>
      <c r="NM18" s="9"/>
      <c r="NN18" s="9"/>
      <c r="NO18" s="9"/>
      <c r="NP18" s="9"/>
      <c r="NQ18" s="9"/>
      <c r="NR18" s="9"/>
      <c r="NS18" s="9"/>
      <c r="NT18" s="9"/>
      <c r="NU18" s="9"/>
      <c r="NV18" s="9"/>
      <c r="NW18" s="9"/>
      <c r="NX18" s="9"/>
      <c r="NY18" s="9"/>
      <c r="NZ18" s="9"/>
      <c r="OA18" s="9"/>
      <c r="OB18" s="9"/>
      <c r="OC18" s="9"/>
      <c r="OD18" s="9"/>
      <c r="OE18" s="9"/>
      <c r="OF18" s="9"/>
      <c r="OG18" s="9"/>
      <c r="OH18" s="9"/>
      <c r="OI18" s="9"/>
      <c r="OJ18" s="9"/>
      <c r="OK18" s="9"/>
      <c r="OL18" s="9"/>
      <c r="OM18" s="9"/>
      <c r="ON18" s="9"/>
      <c r="OO18" s="9"/>
      <c r="OP18" s="9"/>
      <c r="OQ18" s="9"/>
      <c r="OR18" s="9"/>
      <c r="OS18" s="9"/>
      <c r="OT18" s="9"/>
      <c r="OU18" s="9"/>
      <c r="OV18" s="9"/>
      <c r="OW18" s="9"/>
      <c r="OX18" s="9"/>
      <c r="OY18" s="9"/>
      <c r="OZ18" s="9"/>
      <c r="PA18" s="9"/>
      <c r="PB18" s="9"/>
      <c r="PC18" s="9"/>
      <c r="PD18" s="9"/>
      <c r="PE18" s="9"/>
      <c r="PF18" s="9"/>
      <c r="PG18" s="9"/>
      <c r="PH18" s="9"/>
      <c r="PI18" s="9"/>
      <c r="PJ18" s="9"/>
      <c r="PK18" s="9"/>
      <c r="PL18" s="9"/>
      <c r="PM18" s="9"/>
      <c r="PN18" s="9"/>
      <c r="PO18" s="9"/>
      <c r="PP18" s="9"/>
      <c r="PQ18" s="9"/>
      <c r="PR18" s="9"/>
      <c r="PS18" s="9"/>
      <c r="PT18" s="9"/>
      <c r="PU18" s="9"/>
      <c r="PV18" s="9"/>
      <c r="PW18" s="9"/>
      <c r="PX18" s="9"/>
      <c r="PY18" s="9"/>
      <c r="PZ18" s="9"/>
      <c r="QA18" s="9"/>
      <c r="QB18" s="9"/>
      <c r="QC18" s="9"/>
      <c r="QD18" s="9"/>
      <c r="QE18" s="9"/>
      <c r="QF18" s="9"/>
      <c r="QG18" s="9"/>
      <c r="QH18" s="9"/>
      <c r="QI18" s="9"/>
      <c r="QJ18" s="9"/>
      <c r="QK18" s="9"/>
      <c r="QL18" s="9"/>
      <c r="QM18" s="9"/>
      <c r="QN18" s="9"/>
      <c r="QO18" s="9"/>
      <c r="QP18" s="9"/>
    </row>
    <row r="19" spans="1:458" x14ac:dyDescent="0.2">
      <c r="A19" s="27" t="s">
        <v>74</v>
      </c>
      <c r="B19" s="24">
        <v>2371</v>
      </c>
      <c r="C19" s="24">
        <v>14633</v>
      </c>
      <c r="D19" s="25">
        <v>-16806</v>
      </c>
    </row>
    <row r="20" spans="1:458" x14ac:dyDescent="0.2">
      <c r="A20" s="27" t="s">
        <v>75</v>
      </c>
      <c r="B20" s="24">
        <v>1279</v>
      </c>
      <c r="C20" s="24">
        <v>13272</v>
      </c>
      <c r="D20" s="25">
        <v>-18184</v>
      </c>
    </row>
    <row r="21" spans="1:458" x14ac:dyDescent="0.2">
      <c r="A21" s="33" t="s">
        <v>76</v>
      </c>
      <c r="B21" s="54">
        <v>24178</v>
      </c>
      <c r="C21" s="54">
        <v>38151</v>
      </c>
      <c r="D21" s="55">
        <v>-5936</v>
      </c>
    </row>
    <row r="22" spans="1:458" x14ac:dyDescent="0.2">
      <c r="A22" s="27" t="s">
        <v>77</v>
      </c>
      <c r="B22" s="24">
        <v>-2863</v>
      </c>
      <c r="C22" s="19">
        <v>-4791</v>
      </c>
      <c r="D22" s="25">
        <v>3217</v>
      </c>
    </row>
    <row r="23" spans="1:458" x14ac:dyDescent="0.2">
      <c r="A23" s="27" t="s">
        <v>78</v>
      </c>
      <c r="B23" s="19">
        <v>16</v>
      </c>
      <c r="C23" s="19">
        <v>4</v>
      </c>
      <c r="D23" s="21">
        <v>-3</v>
      </c>
    </row>
    <row r="24" spans="1:458" x14ac:dyDescent="0.2">
      <c r="A24" s="31" t="s">
        <v>84</v>
      </c>
      <c r="B24" s="60">
        <v>21331</v>
      </c>
      <c r="C24" s="61">
        <v>33364</v>
      </c>
      <c r="D24" s="62">
        <v>-2722</v>
      </c>
      <c r="E24" s="23"/>
    </row>
    <row r="25" spans="1:458" x14ac:dyDescent="0.2">
      <c r="A25" s="30" t="s">
        <v>79</v>
      </c>
      <c r="B25" s="46">
        <v>2.13</v>
      </c>
      <c r="C25" s="46">
        <v>3.3</v>
      </c>
      <c r="D25" s="47">
        <v>-0.27</v>
      </c>
    </row>
    <row r="26" spans="1:458" x14ac:dyDescent="0.2">
      <c r="A26" s="27" t="s">
        <v>80</v>
      </c>
      <c r="B26" s="48">
        <v>2.09</v>
      </c>
      <c r="C26" s="48">
        <v>3.24</v>
      </c>
      <c r="D26" s="49">
        <v>-0.17</v>
      </c>
    </row>
    <row r="27" spans="1:458" x14ac:dyDescent="0.2">
      <c r="A27" s="27" t="s">
        <v>81</v>
      </c>
      <c r="B27" s="19"/>
      <c r="C27" s="19"/>
      <c r="D27" s="37"/>
    </row>
    <row r="28" spans="1:458" x14ac:dyDescent="0.2">
      <c r="A28" s="32" t="s">
        <v>82</v>
      </c>
      <c r="B28" s="19">
        <v>10005</v>
      </c>
      <c r="C28" s="19">
        <v>10117</v>
      </c>
      <c r="D28" s="37">
        <v>10189</v>
      </c>
    </row>
    <row r="29" spans="1:458" x14ac:dyDescent="0.2">
      <c r="A29" s="32" t="s">
        <v>83</v>
      </c>
      <c r="B29" s="19">
        <v>10198</v>
      </c>
      <c r="C29" s="19">
        <v>10296</v>
      </c>
      <c r="D29" s="37">
        <v>10189</v>
      </c>
    </row>
    <row r="30" spans="1:458" x14ac:dyDescent="0.2">
      <c r="B30" s="18"/>
      <c r="C30" s="18"/>
    </row>
    <row r="31" spans="1:458" x14ac:dyDescent="0.2">
      <c r="A31" s="73" t="s">
        <v>12</v>
      </c>
      <c r="B31" s="73"/>
      <c r="C31" s="73"/>
      <c r="D31" s="73"/>
    </row>
    <row r="32" spans="1:458" x14ac:dyDescent="0.2">
      <c r="B32" s="72" t="s">
        <v>56</v>
      </c>
      <c r="C32" s="72"/>
      <c r="D32" s="72"/>
    </row>
    <row r="33" spans="1:4" x14ac:dyDescent="0.2">
      <c r="B33" s="9">
        <v>2020</v>
      </c>
      <c r="C33" s="9">
        <v>2021</v>
      </c>
      <c r="D33" s="9">
        <v>2022</v>
      </c>
    </row>
    <row r="34" spans="1:4" x14ac:dyDescent="0.2">
      <c r="A34" s="33" t="s">
        <v>86</v>
      </c>
    </row>
    <row r="35" spans="1:4" x14ac:dyDescent="0.2">
      <c r="A35" s="27" t="s">
        <v>87</v>
      </c>
      <c r="B35" s="37">
        <v>42122</v>
      </c>
      <c r="C35" s="37">
        <v>36220</v>
      </c>
      <c r="D35" s="37">
        <v>53888</v>
      </c>
    </row>
    <row r="36" spans="1:4" x14ac:dyDescent="0.2">
      <c r="A36" s="27" t="s">
        <v>88</v>
      </c>
      <c r="B36" s="21">
        <v>42274</v>
      </c>
      <c r="C36" s="21">
        <v>59829</v>
      </c>
      <c r="D36" s="21">
        <v>16138</v>
      </c>
    </row>
    <row r="37" spans="1:4" x14ac:dyDescent="0.2">
      <c r="A37" s="27" t="s">
        <v>89</v>
      </c>
      <c r="B37" s="21">
        <v>23795</v>
      </c>
      <c r="C37" s="21">
        <v>32640</v>
      </c>
      <c r="D37" s="21">
        <v>34405</v>
      </c>
    </row>
    <row r="38" spans="1:4" x14ac:dyDescent="0.2">
      <c r="A38" s="27" t="s">
        <v>90</v>
      </c>
      <c r="B38" s="21">
        <v>24542</v>
      </c>
      <c r="C38" s="21">
        <v>32891</v>
      </c>
      <c r="D38" s="21">
        <v>42360</v>
      </c>
    </row>
    <row r="39" spans="1:4" x14ac:dyDescent="0.2">
      <c r="A39" s="45" t="s">
        <v>113</v>
      </c>
      <c r="B39" s="35">
        <v>132733</v>
      </c>
      <c r="C39" s="35">
        <v>161580</v>
      </c>
      <c r="D39" s="35">
        <v>146791</v>
      </c>
    </row>
    <row r="40" spans="1:4" x14ac:dyDescent="0.2">
      <c r="A40" s="27" t="s">
        <v>91</v>
      </c>
      <c r="B40" s="21">
        <v>113114</v>
      </c>
      <c r="C40" s="21">
        <v>160281</v>
      </c>
      <c r="D40" s="21">
        <v>186715</v>
      </c>
    </row>
    <row r="41" spans="1:4" x14ac:dyDescent="0.2">
      <c r="A41" s="27" t="s">
        <v>92</v>
      </c>
      <c r="B41" s="21">
        <v>37553</v>
      </c>
      <c r="C41" s="21">
        <v>56082</v>
      </c>
      <c r="D41" s="21">
        <v>66123</v>
      </c>
    </row>
    <row r="42" spans="1:4" x14ac:dyDescent="0.2">
      <c r="A42" s="27" t="s">
        <v>93</v>
      </c>
      <c r="B42" s="25">
        <v>15017</v>
      </c>
      <c r="C42" s="25">
        <v>15371</v>
      </c>
      <c r="D42" s="25">
        <v>20288</v>
      </c>
    </row>
    <row r="43" spans="1:4" x14ac:dyDescent="0.2">
      <c r="A43" s="27" t="s">
        <v>94</v>
      </c>
      <c r="B43" s="21">
        <v>22778</v>
      </c>
      <c r="C43" s="21">
        <v>27235</v>
      </c>
      <c r="D43" s="21">
        <v>42758</v>
      </c>
    </row>
    <row r="44" spans="1:4" x14ac:dyDescent="0.2">
      <c r="A44" s="45" t="s">
        <v>95</v>
      </c>
      <c r="B44" s="35">
        <v>321195</v>
      </c>
      <c r="C44" s="35">
        <v>420549</v>
      </c>
      <c r="D44" s="35">
        <v>462675</v>
      </c>
    </row>
    <row r="45" spans="1:4" x14ac:dyDescent="0.2">
      <c r="A45" s="33" t="s">
        <v>96</v>
      </c>
      <c r="B45" s="25"/>
      <c r="C45" s="25"/>
      <c r="D45" s="25"/>
    </row>
    <row r="46" spans="1:4" x14ac:dyDescent="0.2">
      <c r="A46" s="27" t="s">
        <v>97</v>
      </c>
      <c r="B46" s="21">
        <v>72539</v>
      </c>
      <c r="C46" s="21">
        <v>78664</v>
      </c>
      <c r="D46" s="21">
        <v>79600</v>
      </c>
    </row>
    <row r="47" spans="1:4" x14ac:dyDescent="0.2">
      <c r="A47" s="27" t="s">
        <v>98</v>
      </c>
      <c r="B47" s="25">
        <v>44138</v>
      </c>
      <c r="C47" s="25">
        <v>51775</v>
      </c>
      <c r="D47" s="25">
        <v>62566</v>
      </c>
    </row>
    <row r="48" spans="1:4" x14ac:dyDescent="0.2">
      <c r="A48" s="27" t="s">
        <v>99</v>
      </c>
      <c r="B48" s="25">
        <v>9708</v>
      </c>
      <c r="C48" s="25">
        <v>11827</v>
      </c>
      <c r="D48" s="25">
        <v>13227</v>
      </c>
    </row>
    <row r="49" spans="1:4" x14ac:dyDescent="0.2">
      <c r="A49" s="45" t="s">
        <v>100</v>
      </c>
      <c r="B49" s="35">
        <v>126385</v>
      </c>
      <c r="C49" s="35">
        <v>142266</v>
      </c>
      <c r="D49" s="35">
        <v>155393</v>
      </c>
    </row>
    <row r="50" spans="1:4" x14ac:dyDescent="0.2">
      <c r="A50" s="27" t="s">
        <v>101</v>
      </c>
      <c r="B50" s="36">
        <v>52573</v>
      </c>
      <c r="C50" s="37">
        <v>67651</v>
      </c>
      <c r="D50" s="37">
        <v>72968</v>
      </c>
    </row>
    <row r="51" spans="1:4" x14ac:dyDescent="0.2">
      <c r="A51" s="27" t="s">
        <v>102</v>
      </c>
      <c r="B51" s="21">
        <v>31816</v>
      </c>
      <c r="C51" s="21">
        <v>48744</v>
      </c>
      <c r="D51" s="21">
        <v>67150</v>
      </c>
    </row>
    <row r="52" spans="1:4" x14ac:dyDescent="0.2">
      <c r="A52" s="27" t="s">
        <v>103</v>
      </c>
      <c r="B52" s="21">
        <v>17017</v>
      </c>
      <c r="C52" s="21">
        <v>23643</v>
      </c>
      <c r="D52" s="21">
        <v>21121</v>
      </c>
    </row>
    <row r="53" spans="1:4" x14ac:dyDescent="0.2">
      <c r="A53" s="27" t="s">
        <v>114</v>
      </c>
      <c r="B53" s="21">
        <v>0</v>
      </c>
      <c r="C53" s="21">
        <v>0</v>
      </c>
      <c r="D53" s="21">
        <v>0</v>
      </c>
    </row>
    <row r="54" spans="1:4" x14ac:dyDescent="0.2">
      <c r="A54" s="33" t="s">
        <v>104</v>
      </c>
      <c r="B54" s="25"/>
      <c r="C54" s="25"/>
      <c r="D54" s="25"/>
    </row>
    <row r="55" spans="1:4" x14ac:dyDescent="0.2">
      <c r="A55" s="27" t="s">
        <v>105</v>
      </c>
      <c r="B55" s="21">
        <v>0</v>
      </c>
      <c r="C55" s="21">
        <v>0</v>
      </c>
      <c r="D55" s="21">
        <v>0</v>
      </c>
    </row>
    <row r="56" spans="1:4" x14ac:dyDescent="0.2">
      <c r="A56" s="27" t="s">
        <v>106</v>
      </c>
      <c r="B56" s="25">
        <v>5</v>
      </c>
      <c r="C56" s="25">
        <v>106</v>
      </c>
      <c r="D56" s="25">
        <v>108</v>
      </c>
    </row>
    <row r="57" spans="1:4" x14ac:dyDescent="0.2">
      <c r="A57" s="27" t="s">
        <v>107</v>
      </c>
      <c r="B57" s="21">
        <v>-1837</v>
      </c>
      <c r="C57" s="21">
        <v>-1837</v>
      </c>
      <c r="D57" s="21">
        <v>-7837</v>
      </c>
    </row>
    <row r="58" spans="1:4" x14ac:dyDescent="0.2">
      <c r="A58" s="27" t="s">
        <v>108</v>
      </c>
      <c r="B58" s="21">
        <v>42865</v>
      </c>
      <c r="C58" s="21">
        <v>55437</v>
      </c>
      <c r="D58" s="21">
        <v>75066</v>
      </c>
    </row>
    <row r="59" spans="1:4" x14ac:dyDescent="0.2">
      <c r="A59" s="27" t="s">
        <v>109</v>
      </c>
      <c r="B59" s="21">
        <v>-180</v>
      </c>
      <c r="C59" s="21">
        <v>-1376</v>
      </c>
      <c r="D59" s="21">
        <v>-4487</v>
      </c>
    </row>
    <row r="60" spans="1:4" x14ac:dyDescent="0.2">
      <c r="A60" s="27" t="s">
        <v>110</v>
      </c>
      <c r="B60" s="21">
        <v>52551</v>
      </c>
      <c r="C60" s="21">
        <v>85915</v>
      </c>
      <c r="D60" s="21">
        <v>83193</v>
      </c>
    </row>
    <row r="61" spans="1:4" x14ac:dyDescent="0.2">
      <c r="A61" s="45" t="s">
        <v>111</v>
      </c>
      <c r="B61" s="35">
        <v>93404</v>
      </c>
      <c r="C61" s="35">
        <v>138245</v>
      </c>
      <c r="D61" s="35">
        <v>146043</v>
      </c>
    </row>
    <row r="62" spans="1:4" x14ac:dyDescent="0.2">
      <c r="A62" s="45" t="s">
        <v>112</v>
      </c>
      <c r="B62" s="35">
        <v>321195</v>
      </c>
      <c r="C62" s="35">
        <v>420549</v>
      </c>
      <c r="D62" s="35">
        <v>462675</v>
      </c>
    </row>
    <row r="63" spans="1:4" x14ac:dyDescent="0.2">
      <c r="B63" s="10"/>
      <c r="C63" s="10"/>
      <c r="D63" s="10"/>
    </row>
    <row r="64" spans="1:4" x14ac:dyDescent="0.2">
      <c r="B64" s="10"/>
      <c r="C64" s="10"/>
      <c r="D64" s="10"/>
    </row>
    <row r="65" spans="1:4" x14ac:dyDescent="0.2">
      <c r="A65" s="1"/>
      <c r="B65" s="10"/>
      <c r="C65" s="10"/>
      <c r="D65" s="10"/>
    </row>
    <row r="66" spans="1:4" x14ac:dyDescent="0.2">
      <c r="A66" s="1"/>
      <c r="B66" s="10"/>
      <c r="C66" s="10"/>
      <c r="D66" s="10"/>
    </row>
    <row r="67" spans="1:4" x14ac:dyDescent="0.2">
      <c r="A67" s="1"/>
      <c r="B67" s="10"/>
      <c r="C67" s="10"/>
      <c r="D67" s="10"/>
    </row>
    <row r="68" spans="1:4" x14ac:dyDescent="0.2">
      <c r="A68" s="9"/>
      <c r="B68" s="26"/>
      <c r="C68" s="26"/>
      <c r="D68" s="26"/>
    </row>
    <row r="69" spans="1:4" x14ac:dyDescent="0.2">
      <c r="A69" s="9"/>
      <c r="B69" s="26"/>
      <c r="C69" s="26"/>
      <c r="D69" s="26"/>
    </row>
    <row r="71" spans="1:4" x14ac:dyDescent="0.2">
      <c r="A71" s="73" t="s">
        <v>13</v>
      </c>
      <c r="B71" s="73"/>
      <c r="C71" s="73"/>
      <c r="D71" s="73"/>
    </row>
    <row r="72" spans="1:4" x14ac:dyDescent="0.2">
      <c r="B72" s="72" t="s">
        <v>55</v>
      </c>
      <c r="C72" s="72"/>
      <c r="D72" s="72"/>
    </row>
    <row r="73" spans="1:4" x14ac:dyDescent="0.2">
      <c r="B73" s="9">
        <v>2020</v>
      </c>
      <c r="C73" s="9">
        <v>2021</v>
      </c>
      <c r="D73" s="9">
        <v>2022</v>
      </c>
    </row>
    <row r="74" spans="1:4" x14ac:dyDescent="0.2">
      <c r="A74" s="43" t="s">
        <v>116</v>
      </c>
      <c r="B74">
        <v>36410</v>
      </c>
      <c r="C74">
        <v>42377</v>
      </c>
      <c r="D74">
        <v>36477</v>
      </c>
    </row>
    <row r="75" spans="1:4" x14ac:dyDescent="0.2">
      <c r="A75" s="43" t="s">
        <v>117</v>
      </c>
      <c r="B75" s="12"/>
      <c r="C75" s="12"/>
      <c r="D75" s="12"/>
    </row>
    <row r="76" spans="1:4" x14ac:dyDescent="0.2">
      <c r="A76" s="43" t="s">
        <v>118</v>
      </c>
      <c r="B76" s="10">
        <v>21331</v>
      </c>
      <c r="C76" s="10">
        <v>33364</v>
      </c>
      <c r="D76" s="10">
        <v>-2722</v>
      </c>
    </row>
    <row r="77" spans="1:4" x14ac:dyDescent="0.2">
      <c r="A77" s="40" t="s">
        <v>119</v>
      </c>
      <c r="B77" s="12"/>
      <c r="C77" s="12"/>
      <c r="D77" s="12"/>
    </row>
    <row r="78" spans="1:4" ht="15" customHeight="1" x14ac:dyDescent="0.2">
      <c r="A78" s="41" t="s">
        <v>142</v>
      </c>
      <c r="B78" s="10">
        <v>25180</v>
      </c>
      <c r="C78" s="10">
        <v>34433</v>
      </c>
      <c r="D78" s="10">
        <v>41921</v>
      </c>
    </row>
    <row r="79" spans="1:4" x14ac:dyDescent="0.2">
      <c r="A79" s="42" t="s">
        <v>120</v>
      </c>
      <c r="B79" s="10">
        <v>9208</v>
      </c>
      <c r="C79" s="10">
        <v>12757</v>
      </c>
      <c r="D79" s="10">
        <v>19621</v>
      </c>
    </row>
    <row r="80" spans="1:4" x14ac:dyDescent="0.2">
      <c r="A80" s="42" t="s">
        <v>121</v>
      </c>
      <c r="B80" s="10">
        <v>-2582</v>
      </c>
      <c r="C80" s="10">
        <v>-14306</v>
      </c>
      <c r="D80" s="10">
        <v>16966</v>
      </c>
    </row>
    <row r="81" spans="1:4" x14ac:dyDescent="0.2">
      <c r="A81" s="42" t="s">
        <v>122</v>
      </c>
      <c r="B81" s="10">
        <v>-554</v>
      </c>
      <c r="C81" s="10">
        <v>-310</v>
      </c>
      <c r="D81" s="10">
        <v>-8148</v>
      </c>
    </row>
    <row r="82" spans="1:4" x14ac:dyDescent="0.2">
      <c r="A82" s="42" t="s">
        <v>123</v>
      </c>
      <c r="B82" s="10"/>
      <c r="C82" s="10"/>
      <c r="D82" s="10"/>
    </row>
    <row r="83" spans="1:4" x14ac:dyDescent="0.2">
      <c r="A83" s="42" t="s">
        <v>89</v>
      </c>
      <c r="B83" s="10">
        <v>-2849</v>
      </c>
      <c r="C83" s="10">
        <v>-9487</v>
      </c>
      <c r="D83" s="10">
        <v>-2592</v>
      </c>
    </row>
    <row r="84" spans="1:4" x14ac:dyDescent="0.2">
      <c r="A84" s="42" t="s">
        <v>90</v>
      </c>
      <c r="B84" s="10">
        <v>-8169</v>
      </c>
      <c r="C84" s="10">
        <v>-18163</v>
      </c>
      <c r="D84" s="10">
        <v>-21897</v>
      </c>
    </row>
    <row r="85" spans="1:4" x14ac:dyDescent="0.2">
      <c r="A85" s="42" t="s">
        <v>97</v>
      </c>
      <c r="B85" s="10">
        <v>17480</v>
      </c>
      <c r="C85" s="10">
        <v>3602</v>
      </c>
      <c r="D85" s="10">
        <v>2945</v>
      </c>
    </row>
    <row r="86" spans="1:4" x14ac:dyDescent="0.2">
      <c r="A86" s="42" t="s">
        <v>98</v>
      </c>
      <c r="B86" s="10">
        <v>5754</v>
      </c>
      <c r="C86" s="10">
        <v>2123</v>
      </c>
      <c r="D86" s="10">
        <v>-1558</v>
      </c>
    </row>
    <row r="87" spans="1:4" x14ac:dyDescent="0.2">
      <c r="A87" s="42" t="s">
        <v>99</v>
      </c>
      <c r="B87" s="10">
        <v>1265</v>
      </c>
      <c r="C87" s="10">
        <v>2314</v>
      </c>
      <c r="D87" s="10">
        <v>2216</v>
      </c>
    </row>
    <row r="88" spans="1:4" x14ac:dyDescent="0.2">
      <c r="A88" s="44" t="s">
        <v>124</v>
      </c>
      <c r="B88" s="66">
        <v>66064</v>
      </c>
      <c r="C88" s="66">
        <v>46327</v>
      </c>
      <c r="D88" s="66">
        <v>46752</v>
      </c>
    </row>
    <row r="89" spans="1:4" x14ac:dyDescent="0.2">
      <c r="A89" s="43" t="s">
        <v>125</v>
      </c>
      <c r="B89" s="10"/>
      <c r="C89" s="10"/>
      <c r="D89" s="10"/>
    </row>
    <row r="90" spans="1:4" x14ac:dyDescent="0.2">
      <c r="A90" s="42" t="s">
        <v>126</v>
      </c>
      <c r="B90" s="10">
        <v>-40140</v>
      </c>
      <c r="C90" s="10">
        <v>-61053</v>
      </c>
      <c r="D90" s="10">
        <v>-63645</v>
      </c>
    </row>
    <row r="91" spans="1:4" x14ac:dyDescent="0.2">
      <c r="A91" s="42" t="s">
        <v>127</v>
      </c>
      <c r="B91" s="26">
        <v>5096</v>
      </c>
      <c r="C91" s="26">
        <v>5657</v>
      </c>
      <c r="D91" s="26">
        <v>5324</v>
      </c>
    </row>
    <row r="92" spans="1:4" x14ac:dyDescent="0.2">
      <c r="A92" s="42" t="s">
        <v>128</v>
      </c>
      <c r="B92" s="34">
        <v>-2325</v>
      </c>
      <c r="C92" s="34">
        <v>-1985</v>
      </c>
      <c r="D92" s="34">
        <v>-8316</v>
      </c>
    </row>
    <row r="93" spans="1:4" x14ac:dyDescent="0.2">
      <c r="A93" s="42" t="s">
        <v>129</v>
      </c>
      <c r="B93" s="34">
        <v>50237</v>
      </c>
      <c r="C93" s="34">
        <v>59384</v>
      </c>
      <c r="D93" s="34">
        <v>31601</v>
      </c>
    </row>
    <row r="94" spans="1:4" x14ac:dyDescent="0.2">
      <c r="A94" s="42" t="s">
        <v>143</v>
      </c>
      <c r="B94" s="34">
        <v>-72479</v>
      </c>
      <c r="C94" s="34">
        <v>-60157</v>
      </c>
      <c r="D94" s="34">
        <v>-2565</v>
      </c>
    </row>
    <row r="95" spans="1:4" x14ac:dyDescent="0.2">
      <c r="A95" s="42" t="s">
        <v>130</v>
      </c>
      <c r="B95" s="34">
        <v>-59611</v>
      </c>
      <c r="C95" s="34">
        <v>-58154</v>
      </c>
      <c r="D95" s="34">
        <v>-37601</v>
      </c>
    </row>
    <row r="96" spans="1:4" x14ac:dyDescent="0.2">
      <c r="A96" s="43" t="s">
        <v>131</v>
      </c>
      <c r="B96" s="34"/>
      <c r="C96" s="34"/>
      <c r="D96" s="34"/>
    </row>
    <row r="97" spans="1:4" x14ac:dyDescent="0.2">
      <c r="A97" s="42" t="s">
        <v>132</v>
      </c>
      <c r="B97" s="34">
        <v>0</v>
      </c>
      <c r="C97" s="34">
        <v>0</v>
      </c>
      <c r="D97" s="34">
        <v>-6000</v>
      </c>
    </row>
    <row r="98" spans="1:4" x14ac:dyDescent="0.2">
      <c r="A98" s="42" t="s">
        <v>133</v>
      </c>
      <c r="B98" s="34">
        <v>6796</v>
      </c>
      <c r="C98" s="34">
        <v>7956</v>
      </c>
      <c r="D98" s="34">
        <v>41553</v>
      </c>
    </row>
    <row r="99" spans="1:4" x14ac:dyDescent="0.2">
      <c r="A99" s="42" t="s">
        <v>134</v>
      </c>
      <c r="B99" s="34">
        <v>-6277</v>
      </c>
      <c r="C99" s="34">
        <v>-7753</v>
      </c>
      <c r="D99" s="34">
        <v>-37554</v>
      </c>
    </row>
    <row r="100" spans="1:4" x14ac:dyDescent="0.2">
      <c r="A100" s="42" t="s">
        <v>135</v>
      </c>
      <c r="B100" s="34">
        <v>10525</v>
      </c>
      <c r="C100" s="34">
        <v>19003</v>
      </c>
      <c r="D100" s="34">
        <v>21166</v>
      </c>
    </row>
    <row r="101" spans="1:4" x14ac:dyDescent="0.2">
      <c r="A101" s="42" t="s">
        <v>136</v>
      </c>
      <c r="B101" s="65">
        <v>-1553</v>
      </c>
      <c r="C101" s="65">
        <v>-1590</v>
      </c>
      <c r="D101" s="65">
        <v>1258</v>
      </c>
    </row>
    <row r="102" spans="1:4" x14ac:dyDescent="0.2">
      <c r="A102" s="42" t="s">
        <v>137</v>
      </c>
      <c r="B102" s="34">
        <v>-10642</v>
      </c>
      <c r="C102" s="34">
        <v>-11163</v>
      </c>
      <c r="D102" s="34">
        <v>-7941</v>
      </c>
    </row>
    <row r="103" spans="1:4" x14ac:dyDescent="0.2">
      <c r="A103" s="42" t="s">
        <v>138</v>
      </c>
      <c r="B103" s="34">
        <v>-53</v>
      </c>
      <c r="C103" s="34">
        <v>-162</v>
      </c>
      <c r="D103" s="34">
        <v>-248</v>
      </c>
    </row>
    <row r="104" spans="1:4" x14ac:dyDescent="0.2">
      <c r="A104" s="42" t="s">
        <v>139</v>
      </c>
      <c r="B104" s="34">
        <v>-1104</v>
      </c>
      <c r="C104" s="34">
        <v>6291</v>
      </c>
      <c r="D104" s="34">
        <v>9718</v>
      </c>
    </row>
    <row r="105" spans="1:4" x14ac:dyDescent="0.2">
      <c r="A105" s="42" t="s">
        <v>144</v>
      </c>
      <c r="B105" s="34">
        <v>618</v>
      </c>
      <c r="C105" s="34">
        <v>-364</v>
      </c>
      <c r="D105" s="34">
        <v>-1093</v>
      </c>
    </row>
    <row r="106" spans="1:4" x14ac:dyDescent="0.2">
      <c r="A106" s="44" t="s">
        <v>140</v>
      </c>
      <c r="B106" s="66">
        <v>5967</v>
      </c>
      <c r="C106" s="66">
        <v>-5900</v>
      </c>
      <c r="D106" s="66">
        <v>17776</v>
      </c>
    </row>
    <row r="107" spans="1:4" x14ac:dyDescent="0.2">
      <c r="A107" s="44" t="s">
        <v>141</v>
      </c>
      <c r="B107" s="66">
        <v>42377</v>
      </c>
      <c r="C107" s="66">
        <v>36477</v>
      </c>
      <c r="D107" s="66">
        <v>54253</v>
      </c>
    </row>
    <row r="108" spans="1:4" x14ac:dyDescent="0.2">
      <c r="A108" s="1"/>
      <c r="B108" s="34"/>
      <c r="C108" s="34"/>
      <c r="D108" s="34"/>
    </row>
    <row r="109" spans="1:4" x14ac:dyDescent="0.2">
      <c r="A109" s="1"/>
      <c r="B109" s="34"/>
      <c r="C109" s="34"/>
      <c r="D109" s="34"/>
    </row>
    <row r="110" spans="1:4" x14ac:dyDescent="0.2">
      <c r="A110" s="1"/>
      <c r="B110" s="34"/>
      <c r="C110" s="34"/>
      <c r="D110" s="34"/>
    </row>
    <row r="111" spans="1:4" x14ac:dyDescent="0.2">
      <c r="A111" s="1"/>
      <c r="B111" s="26"/>
      <c r="C111" s="26"/>
      <c r="D111" s="26"/>
    </row>
    <row r="112" spans="1:4" x14ac:dyDescent="0.2">
      <c r="A112" s="1"/>
      <c r="B112" s="26"/>
      <c r="C112" s="26"/>
      <c r="D112" s="26"/>
    </row>
    <row r="113" spans="1:4" x14ac:dyDescent="0.2">
      <c r="A113" s="9"/>
      <c r="B113" s="26"/>
      <c r="C113" s="26"/>
      <c r="D113" s="26"/>
    </row>
    <row r="114" spans="1:4" x14ac:dyDescent="0.2">
      <c r="A114" s="9"/>
      <c r="B114" s="10"/>
      <c r="C114" s="10"/>
      <c r="D114" s="10"/>
    </row>
    <row r="115" spans="1:4" x14ac:dyDescent="0.2">
      <c r="A115" s="9"/>
      <c r="B115" s="10"/>
      <c r="C115" s="10"/>
      <c r="D115" s="10"/>
    </row>
    <row r="116" spans="1:4" x14ac:dyDescent="0.2">
      <c r="B116" s="10"/>
      <c r="C116" s="10"/>
      <c r="D116" s="10"/>
    </row>
    <row r="117" spans="1:4" x14ac:dyDescent="0.2">
      <c r="B117" s="10"/>
      <c r="C117" s="10"/>
      <c r="D117" s="10"/>
    </row>
  </sheetData>
  <mergeCells count="6">
    <mergeCell ref="B72:D72"/>
    <mergeCell ref="A2:D2"/>
    <mergeCell ref="B3:D3"/>
    <mergeCell ref="A31:D31"/>
    <mergeCell ref="B32:D32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6"/>
  <sheetViews>
    <sheetView tabSelected="1" zoomScale="87" workbookViewId="0">
      <selection activeCell="E8" sqref="E8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3" width="15.6640625" customWidth="1"/>
    <col min="4" max="4" width="14.6640625" bestFit="1" customWidth="1"/>
    <col min="5" max="5" width="14.33203125" customWidth="1"/>
    <col min="6" max="6" width="55.83203125" customWidth="1"/>
  </cols>
  <sheetData>
    <row r="1" spans="1:10" ht="60" customHeight="1" x14ac:dyDescent="0.3">
      <c r="A1" s="7"/>
      <c r="B1" s="14" t="s">
        <v>146</v>
      </c>
      <c r="C1" s="15"/>
      <c r="D1" s="15"/>
      <c r="E1" s="15"/>
      <c r="F1" s="71" t="s">
        <v>151</v>
      </c>
      <c r="G1" s="15"/>
      <c r="H1" s="15"/>
      <c r="I1" s="15"/>
      <c r="J1" s="15"/>
    </row>
    <row r="2" spans="1:10" x14ac:dyDescent="0.2">
      <c r="C2" s="72" t="s">
        <v>57</v>
      </c>
      <c r="D2" s="72"/>
      <c r="E2" s="72"/>
    </row>
    <row r="3" spans="1:10" x14ac:dyDescent="0.2">
      <c r="C3" s="39" t="s">
        <v>145</v>
      </c>
      <c r="D3" s="39">
        <v>2021</v>
      </c>
      <c r="E3" s="39">
        <v>2022</v>
      </c>
    </row>
    <row r="4" spans="1:10" x14ac:dyDescent="0.2">
      <c r="A4" s="16">
        <v>1</v>
      </c>
      <c r="B4" s="9" t="s">
        <v>14</v>
      </c>
    </row>
    <row r="5" spans="1:10" x14ac:dyDescent="0.2">
      <c r="A5" s="16">
        <f>+A4+0.1</f>
        <v>1.1000000000000001</v>
      </c>
      <c r="B5" s="1" t="s">
        <v>15</v>
      </c>
      <c r="C5" s="50">
        <f>'Financial Statements'!B39/'Financial Statements'!B49</f>
        <v>1.0502274795268425</v>
      </c>
      <c r="D5" s="50">
        <f>'Financial Statements'!C39/'Financial Statements'!C49</f>
        <v>1.1357597739445826</v>
      </c>
      <c r="E5" s="50">
        <f>'Financial Statements'!D39/'Financial Statements'!D49</f>
        <v>0.9446435811136924</v>
      </c>
    </row>
    <row r="6" spans="1:10" x14ac:dyDescent="0.2">
      <c r="A6" s="16">
        <f t="shared" ref="A6:A13" si="0">+A5+0.1</f>
        <v>1.2000000000000002</v>
      </c>
      <c r="B6" s="1" t="s">
        <v>16</v>
      </c>
      <c r="C6" s="51">
        <f>('Financial Statements'!B39-'Financial Statements'!B37)/'Financial Statements'!B49</f>
        <v>0.86195355461486722</v>
      </c>
      <c r="D6" s="51">
        <f>('Financial Statements'!C39-'Financial Statements'!C37)/'Financial Statements'!C49</f>
        <v>0.90633039517523517</v>
      </c>
      <c r="E6" s="51">
        <f>('Financial Statements'!D39-'Financial Statements'!D37)/'Financial Statements'!D49</f>
        <v>0.72323721145740161</v>
      </c>
    </row>
    <row r="7" spans="1:10" x14ac:dyDescent="0.2">
      <c r="A7" s="16">
        <f t="shared" si="0"/>
        <v>1.3000000000000003</v>
      </c>
      <c r="B7" s="1" t="s">
        <v>17</v>
      </c>
      <c r="C7" s="51">
        <f>('Financial Statements'!B35+'Financial Statements'!B36)/'Financial Statements'!B49</f>
        <v>0.66776911817066897</v>
      </c>
      <c r="D7" s="51">
        <f>('Financial Statements'!C35+'Financial Statements'!C36)/'Financial Statements'!C49</f>
        <v>0.67513671572968947</v>
      </c>
      <c r="E7" s="51">
        <f>('Financial Statements'!D35+'Financial Statements'!D36)/'Financial Statements'!D49</f>
        <v>0.45063805962945563</v>
      </c>
    </row>
    <row r="8" spans="1:10" x14ac:dyDescent="0.2">
      <c r="A8" s="16">
        <f t="shared" si="0"/>
        <v>1.4000000000000004</v>
      </c>
      <c r="B8" s="1" t="s">
        <v>18</v>
      </c>
      <c r="C8" s="51">
        <f>'Financial Statements'!B39/((SUM('Financial Statements'!B9,'Financial Statements'!B10,'Financial Statements'!B11,'Financial Statements'!B12,'Financial Statements'!B13,'Financial Statements'!B14-'Financial Statements'!B78))/365)</f>
        <v>143.34229329703982</v>
      </c>
      <c r="D8" s="51">
        <f>'Financial Statements'!C39/((SUM('Financial Statements'!C9,'Financial Statements'!C10,'Financial Statements'!C11,'Financial Statements'!C12,'Financial Statements'!C13,'Financial Statements'!C14-'Financial Statements'!C78))/365)</f>
        <v>143.66690214611094</v>
      </c>
      <c r="E8" s="51">
        <f>'Financial Statements'!D39/((SUM('Financial Statements'!D9,'Financial Statements'!D10,'Financial Statements'!D11,'Financial Statements'!D12,'Financial Statements'!D13,'Financial Statements'!D14-'Financial Statements'!D78))/365)</f>
        <v>116.52283645742943</v>
      </c>
      <c r="F8" s="74" t="s">
        <v>155</v>
      </c>
    </row>
    <row r="9" spans="1:10" x14ac:dyDescent="0.2">
      <c r="A9" s="16">
        <f t="shared" si="0"/>
        <v>1.5000000000000004</v>
      </c>
      <c r="B9" s="1" t="s">
        <v>19</v>
      </c>
      <c r="C9" s="51">
        <f>'Financial Statements'!B37/'Financial Statements'!B9*365</f>
        <v>37.226379834295585</v>
      </c>
      <c r="D9" s="51">
        <f>'Financial Statements'!C37/'Financial Statements'!C9*365</f>
        <v>43.744675851129458</v>
      </c>
      <c r="E9" s="51">
        <f>'Financial Statements'!D37/'Financial Statements'!D9*365</f>
        <v>43.4781065744328</v>
      </c>
    </row>
    <row r="10" spans="1:10" x14ac:dyDescent="0.2">
      <c r="A10" s="16">
        <f t="shared" si="0"/>
        <v>1.6000000000000005</v>
      </c>
      <c r="B10" s="1" t="s">
        <v>20</v>
      </c>
      <c r="C10" s="51">
        <f>'Financial Statements'!B46/'Financial Statements'!B9*365</f>
        <v>113.48452896826929</v>
      </c>
      <c r="D10" s="51">
        <f>'Financial Statements'!C46/'Financial Statements'!C9*365</f>
        <v>105.42681314807743</v>
      </c>
      <c r="E10" s="51">
        <f>'Financial Statements'!D46/'Financial Statements'!D9*365</f>
        <v>100.59169548975007</v>
      </c>
    </row>
    <row r="11" spans="1:10" x14ac:dyDescent="0.2">
      <c r="A11" s="16">
        <f t="shared" si="0"/>
        <v>1.7000000000000006</v>
      </c>
      <c r="B11" s="1" t="s">
        <v>21</v>
      </c>
      <c r="C11" s="51">
        <f>'Financial Statements'!B38/'Financial Statements'!B7*365</f>
        <v>23.202966347548593</v>
      </c>
      <c r="D11" s="51">
        <f>'Financial Statements'!C38/'Financial Statements'!C7*365</f>
        <v>25.552688039299991</v>
      </c>
      <c r="E11" s="51">
        <f>'Financial Statements'!D38/'Financial Statements'!D7*365</f>
        <v>30.081539661817608</v>
      </c>
    </row>
    <row r="12" spans="1:10" x14ac:dyDescent="0.2">
      <c r="A12" s="16">
        <f t="shared" si="0"/>
        <v>1.8000000000000007</v>
      </c>
      <c r="B12" s="1" t="s">
        <v>22</v>
      </c>
      <c r="C12" s="51">
        <f>C9+C11-C10</f>
        <v>-53.055182786425107</v>
      </c>
      <c r="D12" s="51">
        <f t="shared" ref="D12:E12" si="1">D9+D11-D10</f>
        <v>-36.129449257647977</v>
      </c>
      <c r="E12" s="51">
        <f t="shared" si="1"/>
        <v>-27.03204925349965</v>
      </c>
    </row>
    <row r="13" spans="1:10" x14ac:dyDescent="0.2">
      <c r="A13" s="16">
        <f t="shared" si="0"/>
        <v>1.9000000000000008</v>
      </c>
      <c r="B13" s="1" t="s">
        <v>23</v>
      </c>
      <c r="C13" s="53">
        <f>C14/'Financial Statements'!B7</f>
        <v>1.6442869576028845E-2</v>
      </c>
      <c r="D13" s="53">
        <f>D14/'Financial Statements'!C7</f>
        <v>4.1109186032156859E-2</v>
      </c>
      <c r="E13" s="53">
        <f>E14/'Financial Statements'!D7</f>
        <v>-1.6735962084349094E-2</v>
      </c>
    </row>
    <row r="14" spans="1:10" x14ac:dyDescent="0.2">
      <c r="A14" s="16"/>
      <c r="B14" s="13" t="s">
        <v>24</v>
      </c>
      <c r="C14" s="52">
        <f>'Financial Statements'!B39-'Financial Statements'!B49</f>
        <v>6348</v>
      </c>
      <c r="D14" s="52">
        <f>'Financial Statements'!C39-'Financial Statements'!C49</f>
        <v>19314</v>
      </c>
      <c r="E14" s="52">
        <f>'Financial Statements'!D39-'Financial Statements'!D49</f>
        <v>-8602</v>
      </c>
    </row>
    <row r="15" spans="1:10" x14ac:dyDescent="0.2">
      <c r="A15" s="16"/>
    </row>
    <row r="16" spans="1:10" x14ac:dyDescent="0.2">
      <c r="A16" s="16">
        <f>+A4+1</f>
        <v>2</v>
      </c>
      <c r="B16" s="17" t="s">
        <v>25</v>
      </c>
    </row>
    <row r="17" spans="1:6" x14ac:dyDescent="0.2">
      <c r="A17" s="16">
        <f>+A16+0.1</f>
        <v>2.1</v>
      </c>
      <c r="B17" s="1" t="s">
        <v>11</v>
      </c>
      <c r="C17" s="53">
        <f>('Financial Statements'!B7-'Financial Statements'!B9)/'Financial Statements'!B7</f>
        <v>0.3956779186870571</v>
      </c>
      <c r="D17" s="53">
        <f>('Financial Statements'!C7-'Financial Statements'!C9)/'Financial Statements'!C7</f>
        <v>0.42032514441639601</v>
      </c>
      <c r="E17" s="53">
        <f>('Financial Statements'!D7-'Financial Statements'!D9)/'Financial Statements'!D7</f>
        <v>0.43805339865326287</v>
      </c>
    </row>
    <row r="18" spans="1:6" x14ac:dyDescent="0.2">
      <c r="A18" s="16">
        <f>+A17+0.1</f>
        <v>2.2000000000000002</v>
      </c>
      <c r="B18" s="1" t="s">
        <v>26</v>
      </c>
      <c r="C18" s="53">
        <f>C19/'Financial Statements'!B7</f>
        <v>0.13215684446102199</v>
      </c>
      <c r="D18" s="53">
        <f>D19/'Financial Statements'!C7</f>
        <v>0.15835146076599221</v>
      </c>
      <c r="E18" s="53">
        <f>E19/'Financial Statements'!D7</f>
        <v>6.5400995752777816E-2</v>
      </c>
    </row>
    <row r="19" spans="1:6" x14ac:dyDescent="0.2">
      <c r="A19" s="16"/>
      <c r="B19" s="13" t="s">
        <v>27</v>
      </c>
      <c r="C19" s="52">
        <f>'Financial Statements'!B24+'Financial Statements'!B18+'Financial Statements'!B78-'Financial Statements'!B22</f>
        <v>51021</v>
      </c>
      <c r="D19" s="52">
        <f>'Financial Statements'!C24+'Financial Statements'!C18+'Financial Statements'!C78-'Financial Statements'!C22</f>
        <v>74397</v>
      </c>
      <c r="E19" s="52">
        <f>'Financial Statements'!D24+'Financial Statements'!D18+'Financial Statements'!D78-'Financial Statements'!D22</f>
        <v>33615</v>
      </c>
    </row>
    <row r="20" spans="1:6" x14ac:dyDescent="0.2">
      <c r="A20" s="16">
        <f>+A18+0.1</f>
        <v>2.3000000000000003</v>
      </c>
      <c r="B20" s="1" t="s">
        <v>28</v>
      </c>
      <c r="C20" s="53">
        <f>C21/'Financial Statements'!B7</f>
        <v>5.9313999751336569E-2</v>
      </c>
      <c r="D20" s="53">
        <f>D21/'Financial Statements'!C7</f>
        <v>5.2954097509269465E-2</v>
      </c>
      <c r="E20" s="53">
        <f>E21/'Financial Statements'!D7</f>
        <v>2.3829581912242232E-2</v>
      </c>
    </row>
    <row r="21" spans="1:6" x14ac:dyDescent="0.2">
      <c r="A21" s="16"/>
      <c r="B21" s="13" t="s">
        <v>29</v>
      </c>
      <c r="C21" s="64">
        <v>22899</v>
      </c>
      <c r="D21" s="64">
        <v>24879</v>
      </c>
      <c r="E21" s="64">
        <v>12248</v>
      </c>
    </row>
    <row r="22" spans="1:6" x14ac:dyDescent="0.2">
      <c r="A22" s="16">
        <f>+A20+0.1</f>
        <v>2.4000000000000004</v>
      </c>
      <c r="B22" s="1" t="s">
        <v>30</v>
      </c>
      <c r="C22" s="53">
        <f>'Financial Statements'!B24/'Financial Statements'!B7</f>
        <v>5.5252496995316841E-2</v>
      </c>
      <c r="D22" s="53">
        <f>'Financial Statements'!C24/'Financial Statements'!C7</f>
        <v>7.1014128755145567E-2</v>
      </c>
      <c r="E22" s="53">
        <f>'Financial Statements'!D24/'Financial Statements'!D7</f>
        <v>-5.2958950004183018E-3</v>
      </c>
    </row>
    <row r="23" spans="1:6" x14ac:dyDescent="0.2">
      <c r="A23" s="16"/>
    </row>
    <row r="24" spans="1:6" x14ac:dyDescent="0.2">
      <c r="A24" s="16">
        <f>+A16+1</f>
        <v>3</v>
      </c>
      <c r="B24" s="9" t="s">
        <v>31</v>
      </c>
    </row>
    <row r="25" spans="1:6" x14ac:dyDescent="0.2">
      <c r="A25" s="16">
        <f>+A24+0.1</f>
        <v>3.1</v>
      </c>
      <c r="B25" s="1" t="s">
        <v>32</v>
      </c>
      <c r="C25" s="51">
        <f>'Financial Statements'!B51/'Financial Statements'!B61</f>
        <v>0.34062781037214679</v>
      </c>
      <c r="D25" s="51">
        <f>'Financial Statements'!C51/'Financial Statements'!C61</f>
        <v>0.35259141379435061</v>
      </c>
      <c r="E25" s="51">
        <f>'Financial Statements'!D51/'Financial Statements'!D61</f>
        <v>0.45979608745369516</v>
      </c>
    </row>
    <row r="26" spans="1:6" x14ac:dyDescent="0.2">
      <c r="A26" s="16">
        <f t="shared" ref="A26:A30" si="2">+A25+0.1</f>
        <v>3.2</v>
      </c>
      <c r="B26" s="1" t="s">
        <v>33</v>
      </c>
      <c r="C26" s="51">
        <f>'Financial Statements'!B51/'Financial Statements'!B44</f>
        <v>9.9055091144009094E-2</v>
      </c>
      <c r="D26" s="51">
        <f>'Financial Statements'!C51/'Financial Statements'!C44</f>
        <v>0.11590563763081116</v>
      </c>
      <c r="E26" s="51">
        <f>'Financial Statements'!D51/'Financial Statements'!D44</f>
        <v>0.14513427351812827</v>
      </c>
    </row>
    <row r="27" spans="1:6" x14ac:dyDescent="0.2">
      <c r="A27" s="16">
        <f t="shared" si="2"/>
        <v>3.3000000000000003</v>
      </c>
      <c r="B27" s="1" t="s">
        <v>34</v>
      </c>
      <c r="C27" s="63">
        <f>'Financial Statements'!B51/('Financial Statements'!B51+'Financial Statements'!B61)</f>
        <v>0.2540808177607411</v>
      </c>
      <c r="D27" s="63">
        <f>'Financial Statements'!C51/('Financial Statements'!C51+'Financial Statements'!C61)</f>
        <v>0.26067843562990334</v>
      </c>
      <c r="E27" s="63">
        <f>'Financial Statements'!D51/('Financial Statements'!D51+'Financial Statements'!D61)</f>
        <v>0.31497281805687805</v>
      </c>
    </row>
    <row r="28" spans="1:6" x14ac:dyDescent="0.2">
      <c r="A28" s="16">
        <f t="shared" si="2"/>
        <v>3.4000000000000004</v>
      </c>
      <c r="B28" s="1" t="s">
        <v>35</v>
      </c>
      <c r="C28" s="51">
        <f>C21/'Financial Statements'!B18</f>
        <v>13.903460837887067</v>
      </c>
      <c r="D28" s="51">
        <f>D21/'Financial Statements'!C18</f>
        <v>13.752902155887231</v>
      </c>
      <c r="E28" s="51">
        <f>E21/-'Financial Statements'!D18</f>
        <v>5.1744824672581329</v>
      </c>
      <c r="F28" s="75" t="s">
        <v>154</v>
      </c>
    </row>
    <row r="29" spans="1:6" x14ac:dyDescent="0.2">
      <c r="A29" s="16">
        <f t="shared" si="2"/>
        <v>3.5000000000000004</v>
      </c>
      <c r="B29" s="1" t="s">
        <v>36</v>
      </c>
      <c r="C29" s="51">
        <f>C21/(-'Financial Statements'!B101+'Financial Statements'!B18)</f>
        <v>7.1559375000000003</v>
      </c>
      <c r="D29" s="51">
        <f>D21/(-'Financial Statements'!C101+'Financial Statements'!C18)</f>
        <v>7.3195057369814656</v>
      </c>
      <c r="E29" s="51">
        <f>E21/-(-'Financial Statements'!D101+'Financial Statements'!D18)</f>
        <v>3.3787586206896552</v>
      </c>
      <c r="F29" s="75" t="s">
        <v>154</v>
      </c>
    </row>
    <row r="30" spans="1:6" x14ac:dyDescent="0.2">
      <c r="A30" s="16">
        <f t="shared" si="2"/>
        <v>3.6000000000000005</v>
      </c>
      <c r="B30" s="1" t="s">
        <v>37</v>
      </c>
      <c r="C30" s="51">
        <f>C31/'Financial Statements'!B29</f>
        <v>3.4218474210629535</v>
      </c>
      <c r="D30" s="51">
        <f>D31/'Financial Statements'!C29</f>
        <v>0.260975135975136</v>
      </c>
      <c r="E30" s="51">
        <f>E31/'Financial Statements'!D29</f>
        <v>0.54284031798998922</v>
      </c>
    </row>
    <row r="31" spans="1:6" x14ac:dyDescent="0.2">
      <c r="A31" s="16"/>
      <c r="B31" s="13" t="s">
        <v>38</v>
      </c>
      <c r="C31" s="52">
        <f>'Financial Statements'!B88+'Financial Statements'!B90+'Financial Statements'!B100+'Financial Statements'!B101</f>
        <v>34896</v>
      </c>
      <c r="D31" s="52">
        <f>'Financial Statements'!C88+'Financial Statements'!C90+'Financial Statements'!C100+'Financial Statements'!C101</f>
        <v>2687</v>
      </c>
      <c r="E31" s="52">
        <f>'Financial Statements'!D88+'Financial Statements'!D90+'Financial Statements'!D100+'Financial Statements'!D101</f>
        <v>5531</v>
      </c>
    </row>
    <row r="32" spans="1:6" x14ac:dyDescent="0.2">
      <c r="A32" s="16"/>
    </row>
    <row r="33" spans="1:6" x14ac:dyDescent="0.2">
      <c r="A33" s="16">
        <f>+A24+1</f>
        <v>4</v>
      </c>
      <c r="B33" s="17" t="s">
        <v>39</v>
      </c>
    </row>
    <row r="34" spans="1:6" x14ac:dyDescent="0.2">
      <c r="A34" s="16">
        <f>+A33+0.1</f>
        <v>4.0999999999999996</v>
      </c>
      <c r="B34" s="1" t="s">
        <v>40</v>
      </c>
      <c r="C34" s="51">
        <f>'Financial Statements'!B7/'Financial Statements'!B44</f>
        <v>1.2019614253023865</v>
      </c>
      <c r="D34" s="51">
        <f>'Financial Statements'!C7/'Financial Statements'!C44</f>
        <v>1.1171635172120253</v>
      </c>
      <c r="E34" s="51">
        <f>'Financial Statements'!D7/'Financial Statements'!D44</f>
        <v>1.1108942562273734</v>
      </c>
    </row>
    <row r="35" spans="1:6" x14ac:dyDescent="0.2">
      <c r="A35" s="16">
        <f t="shared" ref="A35:A37" si="3">+A34+0.1</f>
        <v>4.1999999999999993</v>
      </c>
      <c r="B35" s="1" t="s">
        <v>41</v>
      </c>
      <c r="C35" s="51">
        <f>'Financial Statements'!B7/'Financial Statements'!B40</f>
        <v>3.4130523188995174</v>
      </c>
      <c r="D35" s="51">
        <f>'Financial Statements'!C7/'Financial Statements'!C40</f>
        <v>2.9312395106094922</v>
      </c>
      <c r="E35" s="51">
        <f>'Financial Statements'!D7/'Financial Statements'!D40</f>
        <v>2.7527675869640897</v>
      </c>
    </row>
    <row r="36" spans="1:6" x14ac:dyDescent="0.2">
      <c r="A36" s="16">
        <f t="shared" si="3"/>
        <v>4.2999999999999989</v>
      </c>
      <c r="B36" s="1" t="s">
        <v>42</v>
      </c>
      <c r="C36" s="51">
        <f>1/(C9/365)</f>
        <v>9.8048749737339769</v>
      </c>
      <c r="D36" s="51">
        <f t="shared" ref="D36:E36" si="4">1/(D9/365)</f>
        <v>8.3438725490196077</v>
      </c>
      <c r="E36" s="51">
        <f t="shared" si="4"/>
        <v>8.3950297921813686</v>
      </c>
    </row>
    <row r="37" spans="1:6" x14ac:dyDescent="0.2">
      <c r="A37" s="16">
        <f t="shared" si="3"/>
        <v>4.3999999999999986</v>
      </c>
      <c r="B37" s="1" t="s">
        <v>43</v>
      </c>
      <c r="C37" s="53">
        <f>'Financial Statements'!B24/'Financial Statements'!B44</f>
        <v>6.6411370040006856E-2</v>
      </c>
      <c r="D37" s="53">
        <f>'Financial Statements'!C24/'Financial Statements'!C44</f>
        <v>7.9334393851846041E-2</v>
      </c>
      <c r="E37" s="53">
        <f>'Financial Statements'!D24/'Financial Statements'!D44</f>
        <v>-5.8831793375479545E-3</v>
      </c>
    </row>
    <row r="38" spans="1:6" x14ac:dyDescent="0.2">
      <c r="A38" s="16"/>
    </row>
    <row r="39" spans="1:6" x14ac:dyDescent="0.2">
      <c r="A39" s="16">
        <f>+A33+1</f>
        <v>5</v>
      </c>
      <c r="B39" s="17" t="s">
        <v>44</v>
      </c>
    </row>
    <row r="40" spans="1:6" x14ac:dyDescent="0.2">
      <c r="A40" s="16">
        <f>+A39+0.1</f>
        <v>5.0999999999999996</v>
      </c>
      <c r="B40" s="1" t="s">
        <v>149</v>
      </c>
      <c r="C40" s="51">
        <f>C54/C41</f>
        <v>77.918660287081337</v>
      </c>
      <c r="D40" s="51">
        <f t="shared" ref="D40" si="5">D54/D41</f>
        <v>51.456790123456784</v>
      </c>
      <c r="E40" s="51">
        <f>E54/E41</f>
        <v>-494.11764705882348</v>
      </c>
      <c r="F40" s="74" t="s">
        <v>152</v>
      </c>
    </row>
    <row r="41" spans="1:6" x14ac:dyDescent="0.2">
      <c r="A41" s="16">
        <f t="shared" ref="A41:A44" si="6">+A40+0.1</f>
        <v>5.1999999999999993</v>
      </c>
      <c r="B41" s="13" t="s">
        <v>45</v>
      </c>
      <c r="C41" s="52">
        <f>'Financial Statements'!B26</f>
        <v>2.09</v>
      </c>
      <c r="D41" s="52">
        <f>'Financial Statements'!C26</f>
        <v>3.24</v>
      </c>
      <c r="E41" s="52">
        <f>'Financial Statements'!D26</f>
        <v>-0.17</v>
      </c>
      <c r="F41" s="75" t="s">
        <v>153</v>
      </c>
    </row>
    <row r="42" spans="1:6" x14ac:dyDescent="0.2">
      <c r="A42" s="16">
        <f t="shared" si="6"/>
        <v>5.2999999999999989</v>
      </c>
      <c r="B42" s="1" t="s">
        <v>46</v>
      </c>
      <c r="C42" s="51">
        <f>'List of Ratios'!C53/'Financial Statements'!B61</f>
        <v>17.443730996531198</v>
      </c>
      <c r="D42" s="51">
        <f>'List of Ratios'!D53/'Financial Statements'!C61</f>
        <v>12.200848059604326</v>
      </c>
      <c r="E42" s="51">
        <f>'List of Ratios'!E53/'Financial Statements'!D61</f>
        <v>5.8604383640434667</v>
      </c>
    </row>
    <row r="43" spans="1:6" x14ac:dyDescent="0.2">
      <c r="A43" s="16">
        <f t="shared" si="6"/>
        <v>5.3999999999999986</v>
      </c>
      <c r="B43" s="13" t="s">
        <v>47</v>
      </c>
      <c r="C43" s="51">
        <f>'Financial Statements'!B61/'Financial Statements'!B29</f>
        <v>9.1590507942733872</v>
      </c>
      <c r="D43" s="51">
        <f>'Financial Statements'!C61/'Financial Statements'!C29</f>
        <v>13.427059052059052</v>
      </c>
      <c r="E43" s="51">
        <f>'Financial Statements'!D61/'Financial Statements'!D29</f>
        <v>14.333398763372264</v>
      </c>
    </row>
    <row r="44" spans="1:6" x14ac:dyDescent="0.2">
      <c r="A44" s="16">
        <f t="shared" si="6"/>
        <v>5.4999999999999982</v>
      </c>
      <c r="B44" s="1" t="s">
        <v>48</v>
      </c>
      <c r="C44" s="67">
        <v>0</v>
      </c>
      <c r="D44" s="67">
        <v>0</v>
      </c>
      <c r="E44" s="67">
        <v>0</v>
      </c>
    </row>
    <row r="45" spans="1:6" x14ac:dyDescent="0.2">
      <c r="A45" s="16"/>
      <c r="B45" s="13" t="s">
        <v>49</v>
      </c>
      <c r="C45" s="68">
        <v>0</v>
      </c>
      <c r="D45" s="68">
        <v>0</v>
      </c>
      <c r="E45" s="68">
        <v>0</v>
      </c>
    </row>
    <row r="46" spans="1:6" x14ac:dyDescent="0.2">
      <c r="A46" s="16">
        <f>+A44+0.1</f>
        <v>5.5999999999999979</v>
      </c>
      <c r="B46" s="1" t="s">
        <v>50</v>
      </c>
      <c r="C46" s="67">
        <v>0</v>
      </c>
      <c r="D46" s="67">
        <v>0</v>
      </c>
      <c r="E46" s="67">
        <v>0</v>
      </c>
    </row>
    <row r="47" spans="1:6" x14ac:dyDescent="0.2">
      <c r="A47" s="16">
        <f t="shared" ref="A47:A50" si="7">+A45+0.1</f>
        <v>0.1</v>
      </c>
      <c r="B47" s="1" t="s">
        <v>51</v>
      </c>
      <c r="C47" s="53">
        <f>'Financial Statements'!B24/'Financial Statements'!B61</f>
        <v>0.22837351719412444</v>
      </c>
      <c r="D47" s="53">
        <f>'Financial Statements'!C24/'Financial Statements'!C61</f>
        <v>0.2413396506202756</v>
      </c>
      <c r="E47" s="53">
        <f>'Financial Statements'!D24/'Financial Statements'!D61</f>
        <v>-1.8638346240490815E-2</v>
      </c>
    </row>
    <row r="48" spans="1:6" x14ac:dyDescent="0.2">
      <c r="A48" s="16">
        <f t="shared" si="7"/>
        <v>5.6999999999999975</v>
      </c>
      <c r="B48" s="1" t="s">
        <v>52</v>
      </c>
      <c r="C48" s="53">
        <f>'List of Ratios'!C21/('Financial Statements'!B51+'Financial Statements'!B61)</f>
        <v>0.18287014853857211</v>
      </c>
      <c r="D48" s="53">
        <f>'List of Ratios'!D21/('Financial Statements'!C51+'Financial Statements'!C61)</f>
        <v>0.13305060725497223</v>
      </c>
      <c r="E48" s="53">
        <f>'List of Ratios'!E21/('Financial Statements'!D51+'Financial Statements'!D61)</f>
        <v>5.745029151989043E-2</v>
      </c>
    </row>
    <row r="49" spans="1:5" x14ac:dyDescent="0.2">
      <c r="A49" s="16">
        <f t="shared" si="7"/>
        <v>0.2</v>
      </c>
      <c r="B49" s="1" t="s">
        <v>43</v>
      </c>
      <c r="C49" s="53">
        <f>C37</f>
        <v>6.6411370040006856E-2</v>
      </c>
      <c r="D49" s="53">
        <f t="shared" ref="D49:E49" si="8">D37</f>
        <v>7.9334393851846041E-2</v>
      </c>
      <c r="E49" s="53">
        <f t="shared" si="8"/>
        <v>-5.8831793375479545E-3</v>
      </c>
    </row>
    <row r="50" spans="1:5" x14ac:dyDescent="0.2">
      <c r="A50" s="16">
        <f t="shared" si="7"/>
        <v>5.7999999999999972</v>
      </c>
      <c r="B50" s="1" t="s">
        <v>53</v>
      </c>
      <c r="C50" s="51">
        <f>C51/C19</f>
        <v>34.744698261500169</v>
      </c>
      <c r="D50" s="51">
        <f t="shared" ref="D50:E50" si="9">D51/D19</f>
        <v>25.175225345108</v>
      </c>
      <c r="E50" s="51">
        <f t="shared" si="9"/>
        <v>32.797322623828649</v>
      </c>
    </row>
    <row r="51" spans="1:5" x14ac:dyDescent="0.2">
      <c r="A51" s="16"/>
      <c r="B51" s="13" t="s">
        <v>54</v>
      </c>
      <c r="C51" s="68">
        <f>SUM('Financial Statements'!B49,'Financial Statements'!B50,'Financial Statements'!B51,'Financial Statements'!B52)+'List of Ratios'!C53-('Financial Statements'!B35+'Financial Statements'!B36)</f>
        <v>1772709.25</v>
      </c>
      <c r="D51" s="68">
        <f>SUM('Financial Statements'!C49,'Financial Statements'!C50,'Financial Statements'!C51,'Financial Statements'!C52)+'List of Ratios'!D53-('Financial Statements'!C35+'Financial Statements'!C36)</f>
        <v>1872961.24</v>
      </c>
      <c r="E51" s="68">
        <f>SUM('Financial Statements'!D49,'Financial Statements'!D50,'Financial Statements'!D51,'Financial Statements'!D52)+'List of Ratios'!E53-('Financial Statements'!D35+'Financial Statements'!D36)</f>
        <v>1102482</v>
      </c>
    </row>
    <row r="53" spans="1:5" x14ac:dyDescent="0.2">
      <c r="B53" s="1" t="s">
        <v>147</v>
      </c>
      <c r="C53" s="68">
        <f>'Financial Statements'!B28*'List of Ratios'!C54</f>
        <v>1629314.25</v>
      </c>
      <c r="D53" s="68">
        <f>'Financial Statements'!C28*'List of Ratios'!D54</f>
        <v>1686706.24</v>
      </c>
      <c r="E53" s="68">
        <f>'Financial Statements'!D28*'List of Ratios'!E54</f>
        <v>855876</v>
      </c>
    </row>
    <row r="54" spans="1:5" x14ac:dyDescent="0.2">
      <c r="B54" s="1" t="s">
        <v>148</v>
      </c>
      <c r="C54" s="69">
        <v>162.85</v>
      </c>
      <c r="D54" s="69">
        <v>166.72</v>
      </c>
      <c r="E54" s="68">
        <v>84</v>
      </c>
    </row>
    <row r="55" spans="1:5" x14ac:dyDescent="0.2">
      <c r="B55" s="1"/>
    </row>
    <row r="56" spans="1:5" x14ac:dyDescent="0.2">
      <c r="B56" s="1" t="s">
        <v>150</v>
      </c>
      <c r="D56" s="70">
        <f>('Financial Statements'!C7-'Financial Statements'!B7)/'Financial Statements'!B7</f>
        <v>0.21695366571345684</v>
      </c>
      <c r="E56" s="70">
        <f>('Financial Statements'!D7-'Financial Statements'!C7)/'Financial Statements'!C7</f>
        <v>9.3995172639850841E-2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Simon Ansari</cp:lastModifiedBy>
  <dcterms:created xsi:type="dcterms:W3CDTF">2020-05-19T16:15:53Z</dcterms:created>
  <dcterms:modified xsi:type="dcterms:W3CDTF">2023-12-04T14:00:05Z</dcterms:modified>
</cp:coreProperties>
</file>