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2"/>
    <sheet name="Schedules" sheetId="2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<sst xmlns="http://schemas.openxmlformats.org/spreadsheetml/2006/main" count="55" uniqueCount="52">
  <si>
    <t xml:space="preserve">Notes</t>
  </si>
  <si>
    <t xml:space="preserve">Feel free to reach out, if you have any questions or issues related to the task.</t>
  </si>
  <si>
    <t xml:space="preserve">Instructions</t>
  </si>
  <si>
    <t xml:space="preserve">Follow the instructions on the Schedules sheet and complete the schedule</t>
  </si>
  <si>
    <t xml:space="preserve">Obtain share prices at Yahoo Finance by filtering relevant financial year for monthly average shareprice and calculate the average of 12 months to obtain annual average share price</t>
  </si>
  <si>
    <t xml:space="preserve">https://finance.yahoo.com/quote/NKE/history?p=NKE</t>
  </si>
  <si>
    <t xml:space="preserve">Copy this sheet to your finalized model from the previous task</t>
  </si>
  <si>
    <t xml:space="preserve">Submission time is 3 days from the day the task was given to you</t>
  </si>
  <si>
    <t xml:space="preserve">NIKE, INC.
(Dollars and Shares in Millions Except Per Share Amounts)</t>
  </si>
  <si>
    <t xml:space="preserve">Terminal year</t>
  </si>
  <si>
    <t xml:space="preserve">Multiples</t>
  </si>
  <si>
    <t xml:space="preserve">Average Share Price</t>
  </si>
  <si>
    <t xml:space="preserve">Closing price average, adjusted close is marginally smaller</t>
  </si>
  <si>
    <t xml:space="preserve">EV</t>
  </si>
  <si>
    <t xml:space="preserve">P/E</t>
  </si>
  <si>
    <t xml:space="preserve">P/BV</t>
  </si>
  <si>
    <t xml:space="preserve">EV/EBITDA</t>
  </si>
  <si>
    <t xml:space="preserve">EV/FCFF</t>
  </si>
  <si>
    <t xml:space="preserve">Debt/Equity</t>
  </si>
  <si>
    <t xml:space="preserve">Debt/Capital</t>
  </si>
  <si>
    <t xml:space="preserve">ROE</t>
  </si>
  <si>
    <t xml:space="preserve">wacc proportions</t>
  </si>
  <si>
    <t xml:space="preserve">FCFF in high growth phase </t>
  </si>
  <si>
    <t xml:space="preserve">Extend the FCFF to 2027, forecast FCFF based on historical growth trend for 2024-terminal year</t>
  </si>
  <si>
    <t xml:space="preserve">Growth %</t>
  </si>
  <si>
    <t xml:space="preserve">US GDP </t>
  </si>
  <si>
    <t xml:space="preserve">WACC</t>
  </si>
  <si>
    <t xml:space="preserve">Calculate using below figures</t>
  </si>
  <si>
    <t xml:space="preserve">Beta</t>
  </si>
  <si>
    <t xml:space="preserve">Source from a financial website</t>
  </si>
  <si>
    <t xml:space="preserve">https://finance.yahoo.com/quote/NKE/key-statistics</t>
  </si>
  <si>
    <t xml:space="preserve">Cost of Equity</t>
  </si>
  <si>
    <t xml:space="preserve">CAPM</t>
  </si>
  <si>
    <t xml:space="preserve">Rf</t>
  </si>
  <si>
    <t xml:space="preserve">https://www.treasury.gov/resource-center/data-chart-center/interest-rates/Pages/TextView.aspx?data=longtermrate</t>
  </si>
  <si>
    <t xml:space="preserve">Rm</t>
  </si>
  <si>
    <t xml:space="preserve">S&amp;P 500 index 1 year return (Source from a financial website)</t>
  </si>
  <si>
    <t xml:space="preserve">https://www.investopedia.com/ask/answers/042415/what-average-annual-return-sp-500.asp</t>
  </si>
  <si>
    <t xml:space="preserve">Cost of Debt</t>
  </si>
  <si>
    <t xml:space="preserve">Calculate from Income statement sheet</t>
  </si>
  <si>
    <t xml:space="preserve">Debt Ratio</t>
  </si>
  <si>
    <t xml:space="preserve">Present Values</t>
  </si>
  <si>
    <t xml:space="preserve">Calculate for periods from 2022 onwards</t>
  </si>
  <si>
    <t xml:space="preserve">Present Value of FCFF in high growth phase </t>
  </si>
  <si>
    <t xml:space="preserve">Calculate</t>
  </si>
  <si>
    <t xml:space="preserve">Present Value of Terminal Value of Firm </t>
  </si>
  <si>
    <t xml:space="preserve">Value of the firm </t>
  </si>
  <si>
    <t xml:space="preserve">Addition of the above</t>
  </si>
  <si>
    <t xml:space="preserve">Book Value of Debt </t>
  </si>
  <si>
    <t xml:space="preserve">Value of Equity </t>
  </si>
  <si>
    <t xml:space="preserve">Value of Equity per Share </t>
  </si>
  <si>
    <t xml:space="preserve">Terminal Value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</si>
</sst>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\$#,##0.00_);[RED]&quot;($&quot;#,##0.00\)"/>
    <numFmt numFmtId="167" formatCode="0%"/>
    <numFmt numFmtId="168" formatCode="General"/>
    <numFmt numFmtId="169" formatCode="_(* #,##0.00_);_(* \(#,##0.00\);_(* \-??_);_(@_)"/>
    <numFmt numFmtId="170" formatCode="_(* #,##0_);_(* \(#,##0\);_(* \-??_);_(@_)"/>
    <numFmt numFmtId="171" formatCode="0.0%"/>
    <numFmt numFmtId="172" formatCode="0.0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  <charset val="1"/>
    </font>
    <font>
      <b val="true"/>
      <sz val="18"/>
      <color rgb="FFFFFFFF"/>
      <name val="Calibri"/>
      <family val="2"/>
      <charset val="1"/>
    </font>
    <font>
      <b val="true"/>
      <sz val="11"/>
      <color rgb="FF203864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203864"/>
      </patternFill>
    </fill>
    <fill>
      <patternFill patternType="solid">
        <fgColor rgb="FF808080"/>
        <bgColor rgb="FF969696"/>
      </patternFill>
    </fill>
    <fill>
      <patternFill patternType="solid">
        <fgColor rgb="FFADB9CA"/>
        <bgColor rgb="FFD0CECE"/>
      </patternFill>
    </fill>
    <fill>
      <patternFill patternType="solid">
        <fgColor rgb="FFD0CECE"/>
        <bgColor rgb="FFADB9CA"/>
      </patternFill>
    </fill>
    <fill>
      <patternFill patternType="solid">
        <fgColor rgb="FFA9D18E"/>
        <bgColor rgb="FFADB9CA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1"/>
    <cellStyle name="Currency 2" xfId="22"/>
    <cellStyle name="Normal 2" xfId="23"/>
    <cellStyle name="Percent 2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20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71711980099225_Task%2014%20-%20Balancing%20the%20Three%20Statements.xlsx%20-%20Amended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storicals"/>
      <sheetName val="Segmental forecast"/>
      <sheetName val="Three Statements"/>
      <sheetName val="Schedules"/>
    </sheetNames>
    <sheetDataSet>
      <sheetData sheetId="0"/>
      <sheetData sheetId="1">
        <row r="12">
          <cell r="B12">
            <v>3273</v>
          </cell>
          <cell r="C12">
            <v>3760</v>
          </cell>
          <cell r="D12">
            <v>4240</v>
          </cell>
          <cell r="E12">
            <v>1933</v>
          </cell>
          <cell r="F12">
            <v>4029</v>
          </cell>
          <cell r="G12">
            <v>2539</v>
          </cell>
          <cell r="H12">
            <v>5727</v>
          </cell>
          <cell r="I12">
            <v>6046</v>
          </cell>
        </row>
        <row r="18">
          <cell r="I18">
            <v>1610.8</v>
          </cell>
        </row>
        <row r="39">
          <cell r="B39">
            <v>107</v>
          </cell>
          <cell r="C39">
            <v>44</v>
          </cell>
          <cell r="D39">
            <v>6</v>
          </cell>
          <cell r="E39">
            <v>6</v>
          </cell>
          <cell r="F39">
            <v>6</v>
          </cell>
          <cell r="G39">
            <v>3</v>
          </cell>
          <cell r="H39">
            <v>0</v>
          </cell>
          <cell r="I39">
            <v>500</v>
          </cell>
        </row>
        <row r="46">
          <cell r="B46">
            <v>1079</v>
          </cell>
          <cell r="C46">
            <v>2010</v>
          </cell>
          <cell r="D46">
            <v>3471</v>
          </cell>
          <cell r="E46">
            <v>3468</v>
          </cell>
          <cell r="F46">
            <v>3464</v>
          </cell>
          <cell r="G46">
            <v>9406</v>
          </cell>
          <cell r="H46">
            <v>9413</v>
          </cell>
          <cell r="I46">
            <v>8920</v>
          </cell>
        </row>
        <row r="58">
          <cell r="B58">
            <v>12707</v>
          </cell>
          <cell r="C58">
            <v>12258</v>
          </cell>
          <cell r="D58">
            <v>12407</v>
          </cell>
          <cell r="E58">
            <v>9812</v>
          </cell>
          <cell r="F58">
            <v>9040</v>
          </cell>
          <cell r="G58">
            <v>8055</v>
          </cell>
          <cell r="H58">
            <v>12767</v>
          </cell>
          <cell r="I58">
            <v>15281</v>
          </cell>
        </row>
      </sheetData>
      <sheetData sheetId="2"/>
      <sheetData sheetId="3">
        <row r="13">
          <cell r="B13">
            <v>0.222</v>
          </cell>
          <cell r="C13">
            <v>0.187</v>
          </cell>
          <cell r="D13">
            <v>0.132</v>
          </cell>
          <cell r="E13">
            <v>0.553</v>
          </cell>
          <cell r="F13">
            <v>0.161</v>
          </cell>
          <cell r="G13">
            <v>0.121</v>
          </cell>
          <cell r="H13">
            <v>0.14</v>
          </cell>
          <cell r="I13">
            <v>0.091</v>
          </cell>
        </row>
        <row r="14">
          <cell r="J14">
            <v>5771.2011555684</v>
          </cell>
          <cell r="K14">
            <v>5715.34813268481</v>
          </cell>
          <cell r="L14">
            <v>5660.03564895089</v>
          </cell>
          <cell r="M14">
            <v>5605.25847309076</v>
          </cell>
          <cell r="N14">
            <v>5551.01142445619</v>
          </cell>
        </row>
      </sheetData>
      <sheetData sheetId="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inance.yahoo.com/quote/NKE/history?p=NK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treasury.gov/resource-center/data-chart-center/interest-rates/Pages/TextView.aspx?data=longtermrat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176.11"/>
  </cols>
  <sheetData>
    <row r="1" customFormat="false" ht="22.05" hidden="false" customHeight="false" outlineLevel="0" collapsed="false">
      <c r="A1" s="2" t="s">
        <v>0</v>
      </c>
    </row>
    <row r="2" customFormat="false" ht="13.8" hidden="false" customHeight="false" outlineLevel="0" collapsed="false">
      <c r="A2" s="3" t="s">
        <v>1</v>
      </c>
    </row>
    <row r="3" customFormat="false" ht="13.8" hidden="false" customHeight="false" outlineLevel="0" collapsed="false">
      <c r="A3" s="4"/>
    </row>
    <row r="4" customFormat="false" ht="22.05" hidden="false" customHeight="false" outlineLevel="0" collapsed="false">
      <c r="A4" s="2" t="s">
        <v>2</v>
      </c>
    </row>
    <row r="5" customFormat="false" ht="13.8" hidden="false" customHeight="false" outlineLevel="0" collapsed="false">
      <c r="A5" s="5" t="s">
        <v>3</v>
      </c>
    </row>
    <row r="6" customFormat="false" ht="13.8" hidden="false" customHeight="false" outlineLevel="0" collapsed="false">
      <c r="A6" s="5" t="s">
        <v>4</v>
      </c>
    </row>
    <row r="7" customFormat="false" ht="13.8" hidden="false" customHeight="false" outlineLevel="0" collapsed="false">
      <c r="A7" s="6" t="s">
        <v>5</v>
      </c>
    </row>
    <row r="8" customFormat="false" ht="13.8" hidden="false" customHeight="false" outlineLevel="0" collapsed="false">
      <c r="A8" s="5" t="s">
        <v>6</v>
      </c>
    </row>
    <row r="9" s="8" customFormat="true" ht="13.8" hidden="false" customHeight="false" outlineLevel="0" collapsed="false">
      <c r="A9" s="7" t="s">
        <v>7</v>
      </c>
    </row>
    <row r="10" customFormat="false" ht="13.8" hidden="false" customHeight="false" outlineLevel="0" collapsed="false">
      <c r="A10" s="4"/>
    </row>
    <row r="11" customFormat="false" ht="13.8" hidden="false" customHeight="false" outlineLevel="0" collapsed="false">
      <c r="A11" s="4"/>
    </row>
    <row r="12" customFormat="false" ht="13.8" hidden="false" customHeight="false" outlineLevel="0" collapsed="false">
      <c r="A12" s="4"/>
    </row>
  </sheetData>
  <hyperlinks>
    <hyperlink ref="A7" r:id="rId1" display="https://finance.yahoo.com/quote/NKE/history?p=NK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3" activePane="bottomLeft" state="frozen"/>
      <selection pane="topLeft" activeCell="A1" activeCellId="0" sqref="A1"/>
      <selection pane="bottomLeft" activeCell="A1" activeCellId="0" sqref="1:1048576"/>
    </sheetView>
  </sheetViews>
  <sheetFormatPr defaultColWidth="11.55078125" defaultRowHeight="13.8" zeroHeight="false" outlineLevelRow="0" outlineLevelCol="0"/>
  <cols>
    <col collapsed="false" customWidth="true" hidden="false" outlineLevel="0" max="1" min="1" style="0" width="37.97"/>
  </cols>
  <sheetData>
    <row r="1" customFormat="false" ht="35.05" hidden="false" customHeight="false" outlineLevel="0" collapsed="false">
      <c r="A1" s="9" t="s">
        <v>8</v>
      </c>
      <c r="B1" s="10" t="n">
        <v>2015</v>
      </c>
      <c r="C1" s="10" t="n">
        <f aca="false">+B1+1</f>
        <v>2016</v>
      </c>
      <c r="D1" s="10" t="n">
        <f aca="false">+C1+1</f>
        <v>2017</v>
      </c>
      <c r="E1" s="10" t="n">
        <f aca="false">+D1+1</f>
        <v>2018</v>
      </c>
      <c r="F1" s="10" t="n">
        <f aca="false">+E1+1</f>
        <v>2019</v>
      </c>
      <c r="G1" s="10" t="n">
        <f aca="false">+F1+1</f>
        <v>2020</v>
      </c>
      <c r="H1" s="10" t="n">
        <f aca="false">+G1+1</f>
        <v>2021</v>
      </c>
      <c r="I1" s="10" t="n">
        <f aca="false">+H1+1</f>
        <v>2022</v>
      </c>
      <c r="J1" s="11" t="s">
        <v>2</v>
      </c>
      <c r="K1" s="12" t="n">
        <f aca="false">+I1+1</f>
        <v>2023</v>
      </c>
      <c r="L1" s="12" t="n">
        <f aca="false">+K1+1</f>
        <v>2024</v>
      </c>
      <c r="M1" s="12" t="n">
        <f aca="false">+L1+1</f>
        <v>2025</v>
      </c>
      <c r="N1" s="12" t="n">
        <f aca="false">+M1+1</f>
        <v>2026</v>
      </c>
      <c r="O1" s="12" t="n">
        <f aca="false">+N1+1</f>
        <v>2027</v>
      </c>
      <c r="P1" s="12" t="n">
        <f aca="false">+O1+1</f>
        <v>2028</v>
      </c>
      <c r="Q1" s="12" t="n">
        <f aca="false">+P1+1</f>
        <v>2029</v>
      </c>
      <c r="R1" s="12" t="n">
        <f aca="false">+Q1+1</f>
        <v>2030</v>
      </c>
      <c r="S1" s="12" t="n">
        <f aca="false">+R1+1</f>
        <v>2031</v>
      </c>
      <c r="T1" s="12" t="n">
        <f aca="false">+S1+1</f>
        <v>2032</v>
      </c>
      <c r="U1" s="13" t="s">
        <v>9</v>
      </c>
    </row>
    <row r="2" customFormat="false" ht="13.8" hidden="false" customHeight="false" outlineLevel="0" collapsed="false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15"/>
      <c r="R2" s="15"/>
      <c r="S2" s="15"/>
      <c r="T2" s="15"/>
      <c r="U2" s="15"/>
    </row>
    <row r="3" customFormat="false" ht="13.8" hidden="false" customHeight="false" outlineLevel="0" collapsed="false">
      <c r="A3" s="0" t="s">
        <v>11</v>
      </c>
      <c r="B3" s="16" t="n">
        <f aca="false">SUM(46,48,50,49,50,54,57,55,61,65,66,62)/12</f>
        <v>55.25</v>
      </c>
      <c r="C3" s="16" t="n">
        <f aca="false">SUM(62,61,61,58,55,55,55,57,53,50,50,50)/12</f>
        <v>55.5833333333333</v>
      </c>
      <c r="D3" s="16" t="n">
        <f aca="false">SUM(52,57,55,55,53,59,59,53,51,54,60,62)/12</f>
        <v>55.8333333333333</v>
      </c>
      <c r="E3" s="16" t="n">
        <f aca="false">SUM(68,67,66,71,75,76,79,70,69,66)/12</f>
        <v>58.9166666666667</v>
      </c>
      <c r="F3" s="16" t="n">
        <f aca="false">SUM(82,84,86,88,77,84,86,84,93,89 ,93,101)/12</f>
        <v>87.25</v>
      </c>
      <c r="G3" s="16" t="n">
        <f aca="false">SUM(96,89,83,87,99,98,97,112,126,120,135,141)/12</f>
        <v>106.916666666667</v>
      </c>
      <c r="H3" s="16" t="n">
        <f aca="false">SUM(134,135,133,133,136,154,167,165,145,167,169,169)/12</f>
        <v>150.583333333333</v>
      </c>
      <c r="I3" s="16" t="n">
        <f aca="false">SUM(146,135,132,123,117,101,113,105,82,92,108,115)/12</f>
        <v>114.083333333333</v>
      </c>
      <c r="J3" s="0" t="s">
        <v>12</v>
      </c>
      <c r="K3" s="16" t="n">
        <f aca="false">SUM(127,118,122,126,105,110,110,101,95,102,110,108)/12</f>
        <v>111.166666666667</v>
      </c>
      <c r="L3" s="17"/>
      <c r="M3" s="17"/>
      <c r="N3" s="17"/>
      <c r="O3" s="17"/>
      <c r="U3" s="18" t="n">
        <v>2027</v>
      </c>
    </row>
    <row r="4" customFormat="false" ht="13.8" hidden="false" customHeight="false" outlineLevel="0" collapsed="false">
      <c r="A4" s="0" t="s">
        <v>13</v>
      </c>
      <c r="B4" s="19" t="n">
        <f aca="false">(B3*[1]Historicals!B18)-[1]Historicals!B39+[1]Historicals!B40+[1]Historicals!B41+[1]Historicals!B46-[1]Historicals!B25</f>
        <v>972</v>
      </c>
      <c r="C4" s="19" t="n">
        <f aca="false">(C3*[1]Historicals!C18)-[1]Historicals!C39+[1]Historicals!C40+[1]Historicals!C41+[1]Historicals!C46-[1]Historicals!C25</f>
        <v>1966</v>
      </c>
      <c r="D4" s="19" t="n">
        <f aca="false">(D3*[1]Historicals!D18)-[1]Historicals!D39+[1]Historicals!D40+[1]Historicals!D41+[1]Historicals!D46-[1]Historicals!D25</f>
        <v>3465</v>
      </c>
      <c r="E4" s="19" t="n">
        <f aca="false">(E3*[1]Historicals!E18)-[1]Historicals!E39+[1]Historicals!E40+[1]Historicals!E41+[1]Historicals!E46-[1]Historicals!E25</f>
        <v>3462</v>
      </c>
      <c r="F4" s="19" t="n">
        <f aca="false">(F3*[1]Historicals!F18)-[1]Historicals!F39+[1]Historicals!F40+[1]Historicals!F41+[1]Historicals!F46-[1]Historicals!F25</f>
        <v>3458</v>
      </c>
      <c r="G4" s="19" t="n">
        <f aca="false">(G3*[1]Historicals!G18)-[1]Historicals!G39+[1]Historicals!G40+[1]Historicals!G41+[1]Historicals!G46-[1]Historicals!G25</f>
        <v>9403</v>
      </c>
      <c r="H4" s="19" t="n">
        <f aca="false">(H3*[1]Historicals!H18)-[1]Historicals!H39+[1]Historicals!H40+[1]Historicals!H41+[1]Historicals!H46-[1]Historicals!H25</f>
        <v>9413</v>
      </c>
      <c r="I4" s="19" t="n">
        <f aca="false">(I3*[1]Historicals!I18)+[1]Historicals!I39+[1]Historicals!I40+[1]Historicals!I41+[1]Historicals!I46-[1]Historicals!I25</f>
        <v>193185.433333333</v>
      </c>
      <c r="K4" s="19" t="n">
        <f aca="false">(K3*'[1]Three Statements'!J15)-'[1]Three Statements'!J33-'[1]Three Statements'!J34-'[1]Three Statements'!J35</f>
        <v>0</v>
      </c>
      <c r="U4" s="18" t="n">
        <v>2027</v>
      </c>
    </row>
    <row r="5" customFormat="false" ht="13.8" hidden="false" customHeight="false" outlineLevel="0" collapsed="false">
      <c r="A5" s="0" t="s">
        <v>14</v>
      </c>
      <c r="B5" s="17" t="e">
        <f aca="false">B3/[1]Historicals!B15</f>
        <v>#DIV/0!</v>
      </c>
      <c r="C5" s="17" t="e">
        <f aca="false">C3/[1]Historicals!C15</f>
        <v>#DIV/0!</v>
      </c>
      <c r="D5" s="17" t="e">
        <f aca="false">D3/[1]Historicals!D15</f>
        <v>#DIV/0!</v>
      </c>
      <c r="E5" s="17" t="e">
        <f aca="false">E3/[1]Historicals!E15</f>
        <v>#DIV/0!</v>
      </c>
      <c r="F5" s="17" t="e">
        <f aca="false">F3/[1]Historicals!F15</f>
        <v>#DIV/0!</v>
      </c>
      <c r="G5" s="17" t="e">
        <f aca="false">G3/[1]Historicals!G15</f>
        <v>#DIV/0!</v>
      </c>
      <c r="H5" s="17" t="e">
        <f aca="false">H3/[1]Historicals!H15</f>
        <v>#DIV/0!</v>
      </c>
      <c r="I5" s="17" t="e">
        <f aca="false">I3/[1]Historicals!I15</f>
        <v>#DIV/0!</v>
      </c>
      <c r="K5" s="20" t="e">
        <f aca="false">K3/'[1]Three Statements'!J16</f>
        <v>#DIV/0!</v>
      </c>
      <c r="U5" s="18" t="n">
        <v>2027</v>
      </c>
    </row>
    <row r="6" customFormat="false" ht="13.8" hidden="false" customHeight="false" outlineLevel="0" collapsed="false">
      <c r="A6" s="0" t="s">
        <v>15</v>
      </c>
      <c r="B6" s="17" t="e">
        <f aca="false">B3/([1]Historicals!B58/[1]Historicals!B18)</f>
        <v>#DIV/0!</v>
      </c>
      <c r="C6" s="17" t="e">
        <f aca="false">C3/([1]Historicals!C58/[1]Historicals!C18)</f>
        <v>#DIV/0!</v>
      </c>
      <c r="D6" s="17" t="e">
        <f aca="false">D3/([1]Historicals!D58/[1]Historicals!D18)</f>
        <v>#DIV/0!</v>
      </c>
      <c r="E6" s="17" t="e">
        <f aca="false">E3/([1]Historicals!E58/[1]Historicals!E18)</f>
        <v>#DIV/0!</v>
      </c>
      <c r="F6" s="17" t="e">
        <f aca="false">F3/([1]Historicals!F58/[1]Historicals!F18)</f>
        <v>#DIV/0!</v>
      </c>
      <c r="G6" s="17" t="e">
        <f aca="false">G3/([1]Historicals!G58/[1]Historicals!G18)</f>
        <v>#DIV/0!</v>
      </c>
      <c r="H6" s="17" t="e">
        <f aca="false">H3/([1]Historicals!H58/[1]Historicals!H18)</f>
        <v>#DIV/0!</v>
      </c>
      <c r="I6" s="17" t="n">
        <f aca="false">I3/([1]Historicals!I58/[1]Historicals!I18)</f>
        <v>12.0257465698144</v>
      </c>
      <c r="K6" s="20" t="e">
        <f aca="false">K3/(16026/'[1]Three Statements'!J15)</f>
        <v>#DIV/0!</v>
      </c>
      <c r="U6" s="18" t="n">
        <v>2027</v>
      </c>
    </row>
    <row r="7" customFormat="false" ht="13.8" hidden="false" customHeight="false" outlineLevel="0" collapsed="false">
      <c r="A7" s="0" t="s">
        <v>16</v>
      </c>
      <c r="B7" s="17" t="e">
        <f aca="false">B4/'[1]Segmental forecast'!B5</f>
        <v>#DIV/0!</v>
      </c>
      <c r="C7" s="17" t="e">
        <f aca="false">C4/'[1]Segmental forecast'!C5</f>
        <v>#DIV/0!</v>
      </c>
      <c r="D7" s="17" t="e">
        <f aca="false">D4/'[1]Segmental forecast'!D5</f>
        <v>#DIV/0!</v>
      </c>
      <c r="E7" s="17" t="e">
        <f aca="false">E4/'[1]Segmental forecast'!E5</f>
        <v>#DIV/0!</v>
      </c>
      <c r="F7" s="17" t="e">
        <f aca="false">F4/'[1]Segmental forecast'!F5</f>
        <v>#DIV/0!</v>
      </c>
      <c r="G7" s="17" t="e">
        <f aca="false">G4/'[1]Segmental forecast'!G5</f>
        <v>#DIV/0!</v>
      </c>
      <c r="H7" s="17" t="e">
        <f aca="false">H4/'[1]Segmental forecast'!H5</f>
        <v>#DIV/0!</v>
      </c>
      <c r="I7" s="17" t="e">
        <f aca="false">I4/'[1]Segmental forecast'!I5</f>
        <v>#DIV/0!</v>
      </c>
      <c r="K7" s="20" t="e">
        <f aca="false">K4/'[1]Segmental forecast'!J5</f>
        <v>#DIV/0!</v>
      </c>
      <c r="U7" s="18" t="n">
        <v>2027</v>
      </c>
    </row>
    <row r="8" customFormat="false" ht="13.8" hidden="false" customHeight="false" outlineLevel="0" collapsed="false">
      <c r="A8" s="0" t="s">
        <v>17</v>
      </c>
      <c r="B8" s="17" t="e">
        <f aca="false">B4/('[1]Three Statements'!B49+'[1]Three Statements'!B47+'[1]Three Statements'!B51+'[1]Three Statements'!B52)</f>
        <v>#DIV/0!</v>
      </c>
      <c r="C8" s="17" t="e">
        <f aca="false">C4/('[1]Three Statements'!C49+'[1]Three Statements'!C47+'[1]Three Statements'!C51+'[1]Three Statements'!C52)</f>
        <v>#DIV/0!</v>
      </c>
      <c r="D8" s="17" t="e">
        <f aca="false">D4/('[1]Three Statements'!D49+'[1]Three Statements'!D47+'[1]Three Statements'!D51+'[1]Three Statements'!D52)</f>
        <v>#DIV/0!</v>
      </c>
      <c r="E8" s="17" t="e">
        <f aca="false">E4/('[1]Three Statements'!E49+'[1]Three Statements'!E47+'[1]Three Statements'!E51+'[1]Three Statements'!E52)</f>
        <v>#DIV/0!</v>
      </c>
      <c r="F8" s="17" t="e">
        <f aca="false">F4/('[1]Three Statements'!F49+'[1]Three Statements'!F47+'[1]Three Statements'!F51+'[1]Three Statements'!F52)</f>
        <v>#DIV/0!</v>
      </c>
      <c r="G8" s="17" t="e">
        <f aca="false">G4/('[1]Three Statements'!G49+'[1]Three Statements'!G47+'[1]Three Statements'!G51+'[1]Three Statements'!G52)</f>
        <v>#DIV/0!</v>
      </c>
      <c r="H8" s="17" t="e">
        <f aca="false">H4/('[1]Three Statements'!H49+'[1]Three Statements'!H47+'[1]Three Statements'!H51+'[1]Three Statements'!H52)</f>
        <v>#DIV/0!</v>
      </c>
      <c r="I8" s="17" t="e">
        <f aca="false">I4/('[1]Three Statements'!I49+'[1]Three Statements'!I47+'[1]Three Statements'!I51+'[1]Three Statements'!I52)</f>
        <v>#DIV/0!</v>
      </c>
      <c r="K8" s="17" t="e">
        <f aca="false">K4/('[1]Three Statements'!K49+'[1]Three Statements'!K47+'[1]Three Statements'!K51+'[1]Three Statements'!K52)</f>
        <v>#DIV/0!</v>
      </c>
      <c r="U8" s="18" t="n">
        <v>2027</v>
      </c>
    </row>
    <row r="9" customFormat="false" ht="13.8" hidden="false" customHeight="false" outlineLevel="0" collapsed="false">
      <c r="A9" s="0" t="s">
        <v>18</v>
      </c>
      <c r="B9" s="21" t="n">
        <f aca="false">([1]Historicals!B39+[1]Historicals!B40+[1]Historicals!B41+[1]Historicals!B46)/[1]Historicals!B58</f>
        <v>0.0933343826237507</v>
      </c>
      <c r="C9" s="21" t="n">
        <f aca="false">([1]Historicals!C39+[1]Historicals!C40+[1]Historicals!C41+[1]Historicals!C46)/[1]Historicals!C58</f>
        <v>0.167564039810736</v>
      </c>
      <c r="D9" s="21" t="n">
        <f aca="false">([1]Historicals!D39+[1]Historicals!D40+[1]Historicals!D41+[1]Historicals!D46)/[1]Historicals!D58</f>
        <v>0.280245022970904</v>
      </c>
      <c r="E9" s="21" t="n">
        <f aca="false">([1]Historicals!E39+[1]Historicals!E40+[1]Historicals!E41+[1]Historicals!E46)/[1]Historicals!E58</f>
        <v>0.354056257643702</v>
      </c>
      <c r="F9" s="21" t="n">
        <f aca="false">([1]Historicals!F39+[1]Historicals!F40+[1]Historicals!F41+[1]Historicals!F46)/[1]Historicals!F58</f>
        <v>0.383849557522124</v>
      </c>
      <c r="G9" s="21" t="n">
        <f aca="false">([1]Historicals!G39+[1]Historicals!G40+[1]Historicals!G41+[1]Historicals!G46)/[1]Historicals!G58</f>
        <v>1.16809435133457</v>
      </c>
      <c r="H9" s="21" t="n">
        <f aca="false">([1]Historicals!H39+[1]Historicals!H40+[1]Historicals!H41+[1]Historicals!H46)/[1]Historicals!H58</f>
        <v>0.737291454531213</v>
      </c>
      <c r="I9" s="21" t="n">
        <f aca="false">([1]Historicals!I39+[1]Historicals!I40+[1]Historicals!I41+[1]Historicals!I46)/[1]Historicals!I58</f>
        <v>0.616451802892481</v>
      </c>
      <c r="K9" s="22" t="n">
        <f aca="false">('[1]Three Statements'!J33+'[1]Three Statements'!J34+'[1]Three Statements'!J36)/16026</f>
        <v>0</v>
      </c>
      <c r="U9" s="18" t="n">
        <v>2027</v>
      </c>
    </row>
    <row r="10" customFormat="false" ht="13.8" hidden="false" customHeight="false" outlineLevel="0" collapsed="false">
      <c r="A10" s="0" t="s">
        <v>19</v>
      </c>
      <c r="B10" s="21" t="n">
        <f aca="false">([1]Historicals!B39+[1]Historicals!B40+[1]Historicals!B41+[1]Historicals!B46)/([1]Historicals!B58+[1]Historicals!B39+[1]Historicals!B40+[1]Historicals!B41+[1]Historicals!B46)</f>
        <v>0.0853667314474915</v>
      </c>
      <c r="C10" s="21" t="n">
        <f aca="false">([1]Historicals!C39+[1]Historicals!C40+[1]Historicals!C41+[1]Historicals!C46)/([1]Historicals!C58+[1]Historicals!C39+[1]Historicals!C40+[1]Historicals!C41+[1]Historicals!C46)</f>
        <v>0.143515930687535</v>
      </c>
      <c r="D10" s="21" t="n">
        <f aca="false">([1]Historicals!D39+[1]Historicals!D40+[1]Historicals!D41+[1]Historicals!D46)/([1]Historicals!D58+[1]Historicals!D39+[1]Historicals!D40+[1]Historicals!D41+[1]Historicals!D46)</f>
        <v>0.2188995215311</v>
      </c>
      <c r="E10" s="21" t="n">
        <f aca="false">([1]Historicals!E39+[1]Historicals!E40+[1]Historicals!E41+[1]Historicals!E46)/([1]Historicals!E58+[1]Historicals!E39+[1]Historicals!E40+[1]Historicals!E41+[1]Historicals!E46)</f>
        <v>0.261478247779618</v>
      </c>
      <c r="F10" s="21" t="n">
        <f aca="false">([1]Historicals!F39+[1]Historicals!F40+[1]Historicals!F41+[1]Historicals!F46)/([1]Historicals!F58+[1]Historicals!F39+[1]Historicals!F40+[1]Historicals!F41+[1]Historicals!F46)</f>
        <v>0.277378097521982</v>
      </c>
      <c r="G10" s="21" t="n">
        <f aca="false">([1]Historicals!G39+[1]Historicals!G40+[1]Historicals!G41+[1]Historicals!G46)/([1]Historicals!G58+[1]Historicals!G39+[1]Historicals!G40+[1]Historicals!G41+[1]Historicals!G46)</f>
        <v>0.53876546037563</v>
      </c>
      <c r="H10" s="21" t="n">
        <f aca="false">([1]Historicals!H39+[1]Historicals!H40+[1]Historicals!H41+[1]Historicals!H46)/([1]Historicals!H58+[1]Historicals!H39+[1]Historicals!H40+[1]Historicals!H41+[1]Historicals!H46)</f>
        <v>0.42439134355275</v>
      </c>
      <c r="I10" s="21" t="n">
        <f aca="false">([1]Historicals!I39+[1]Historicals!I40+[1]Historicals!I41+[1]Historicals!I46)/([1]Historicals!I58+[1]Historicals!I39+[1]Historicals!I40+[1]Historicals!I41+[1]Historicals!I46)</f>
        <v>0.381361078498846</v>
      </c>
      <c r="K10" s="22" t="n">
        <f aca="false">('[1]Three Statements'!J33+'[1]Three Statements'!J34+'[1]Three Statements'!J37)/(16026+'[1]Three Statements'!J33+'[1]Three Statements'!J34+'[1]Three Statements'!J37)</f>
        <v>0</v>
      </c>
      <c r="U10" s="18" t="n">
        <v>2027</v>
      </c>
    </row>
    <row r="11" customFormat="false" ht="13.8" hidden="false" customHeight="false" outlineLevel="0" collapsed="false">
      <c r="A11" s="0" t="s">
        <v>20</v>
      </c>
      <c r="B11" s="21" t="n">
        <f aca="false">[1]Historicals!B12/[1]Historicals!B58</f>
        <v>0.257574565200283</v>
      </c>
      <c r="C11" s="21" t="n">
        <f aca="false">[1]Historicals!C12/[1]Historicals!C58</f>
        <v>0.306738456518192</v>
      </c>
      <c r="D11" s="21" t="n">
        <f aca="false">[1]Historicals!D12/[1]Historicals!D58</f>
        <v>0.341742564681228</v>
      </c>
      <c r="E11" s="21" t="n">
        <f aca="false">[1]Historicals!E12/[1]Historicals!E58</f>
        <v>0.197003668976763</v>
      </c>
      <c r="F11" s="21" t="n">
        <f aca="false">[1]Historicals!F12/[1]Historicals!F58</f>
        <v>0.445685840707965</v>
      </c>
      <c r="G11" s="21" t="n">
        <f aca="false">[1]Historicals!G12/[1]Historicals!G58</f>
        <v>0.315207945375543</v>
      </c>
      <c r="H11" s="21" t="n">
        <f aca="false">[1]Historicals!H12/[1]Historicals!H58</f>
        <v>0.448578366100102</v>
      </c>
      <c r="I11" s="21" t="n">
        <f aca="false">[1]Historicals!I12/[1]Historicals!I58</f>
        <v>0.395654734637785</v>
      </c>
      <c r="K11" s="22" t="n">
        <f aca="false">'[1]Three Statements'!J14/16026</f>
        <v>0.360114885534032</v>
      </c>
      <c r="L11" s="22" t="n">
        <f aca="false">'[1]Three Statements'!K14/16808</f>
        <v>0.340037371054546</v>
      </c>
      <c r="M11" s="22" t="n">
        <f aca="false">'[1]Three Statements'!L14/17627</f>
        <v>0.321100337490832</v>
      </c>
      <c r="N11" s="22" t="n">
        <f aca="false">'[1]Three Statements'!M14/18487</f>
        <v>0.30320000395363</v>
      </c>
      <c r="O11" s="22" t="n">
        <f aca="false">'[1]Three Statements'!N14/19388</f>
        <v>0.286311709534567</v>
      </c>
      <c r="P11" s="22"/>
      <c r="Q11" s="22"/>
      <c r="R11" s="22"/>
      <c r="S11" s="22"/>
      <c r="T11" s="22"/>
      <c r="U11" s="18" t="n">
        <v>2027</v>
      </c>
    </row>
    <row r="13" customFormat="false" ht="13.8" hidden="false" customHeight="false" outlineLevel="0" collapsed="false">
      <c r="B13" s="0" t="s">
        <v>21</v>
      </c>
      <c r="C13" s="0" t="n">
        <f aca="false">(B3*[1]Historicals!B18)</f>
        <v>0</v>
      </c>
      <c r="D13" s="0" t="n">
        <f aca="false">[1]Historicals!B39+[1]Historicals!B40+[1]Historicals!B41+[1]Historicals!B46</f>
        <v>1186</v>
      </c>
    </row>
    <row r="14" customFormat="false" ht="13.8" hidden="false" customHeight="false" outlineLevel="0" collapsed="false">
      <c r="L14" s="22"/>
      <c r="M14" s="22"/>
      <c r="N14" s="22"/>
      <c r="O14" s="22"/>
    </row>
    <row r="15" customFormat="false" ht="13.8" hidden="false" customHeight="false" outlineLevel="0" collapsed="false">
      <c r="A15" s="0" t="s">
        <v>22</v>
      </c>
      <c r="B15" s="19" t="n">
        <f aca="false">'[1]Three Statements'!B53</f>
        <v>0</v>
      </c>
      <c r="C15" s="19" t="n">
        <f aca="false">'[1]Three Statements'!C53</f>
        <v>0</v>
      </c>
      <c r="D15" s="19" t="n">
        <f aca="false">'[1]Three Statements'!D53</f>
        <v>0</v>
      </c>
      <c r="E15" s="19" t="n">
        <f aca="false">'[1]Three Statements'!E53</f>
        <v>0</v>
      </c>
      <c r="F15" s="19" t="n">
        <f aca="false">'[1]Three Statements'!F53</f>
        <v>0</v>
      </c>
      <c r="G15" s="19" t="n">
        <f aca="false">'[1]Three Statements'!G53</f>
        <v>0</v>
      </c>
      <c r="H15" s="19" t="n">
        <f aca="false">'[1]Three Statements'!H53</f>
        <v>0</v>
      </c>
      <c r="I15" s="19" t="n">
        <f aca="false">'[1]Three Statements'!I53</f>
        <v>0</v>
      </c>
      <c r="J15" s="0" t="s">
        <v>23</v>
      </c>
      <c r="K15" s="19" t="n">
        <f aca="false">'[1]Three Statements'!J53</f>
        <v>0</v>
      </c>
      <c r="L15" s="19" t="n">
        <f aca="false">'[1]Three Statements'!K53</f>
        <v>0</v>
      </c>
      <c r="M15" s="19" t="n">
        <f aca="false">'[1]Three Statements'!L53</f>
        <v>0</v>
      </c>
      <c r="N15" s="19" t="n">
        <f aca="false">'[1]Three Statements'!M53</f>
        <v>0</v>
      </c>
      <c r="O15" s="19" t="n">
        <f aca="false">'[1]Three Statements'!N53</f>
        <v>0</v>
      </c>
      <c r="P15" s="20" t="n">
        <f aca="false">O15*0.97</f>
        <v>0</v>
      </c>
      <c r="Q15" s="20" t="n">
        <f aca="false">P15*0.97</f>
        <v>0</v>
      </c>
      <c r="R15" s="20" t="n">
        <f aca="false">Q15*0.97</f>
        <v>0</v>
      </c>
      <c r="S15" s="20" t="n">
        <f aca="false">R15*0.97</f>
        <v>0</v>
      </c>
      <c r="T15" s="20" t="n">
        <f aca="false">S15*0.97</f>
        <v>0</v>
      </c>
      <c r="U15" s="0" t="n">
        <v>2024</v>
      </c>
    </row>
    <row r="16" customFormat="false" ht="13.8" hidden="false" customHeight="false" outlineLevel="0" collapsed="false">
      <c r="A16" s="23" t="s">
        <v>24</v>
      </c>
      <c r="B16" s="24"/>
      <c r="C16" s="24" t="e">
        <f aca="false">C15/B15-1</f>
        <v>#DIV/0!</v>
      </c>
      <c r="D16" s="24" t="e">
        <f aca="false">D15/C15-1</f>
        <v>#DIV/0!</v>
      </c>
      <c r="E16" s="24" t="e">
        <f aca="false">E15/D15-1</f>
        <v>#DIV/0!</v>
      </c>
      <c r="F16" s="24" t="e">
        <f aca="false">F15/E15-1</f>
        <v>#DIV/0!</v>
      </c>
      <c r="G16" s="24" t="e">
        <f aca="false">G15/F15-1</f>
        <v>#DIV/0!</v>
      </c>
      <c r="H16" s="24" t="e">
        <f aca="false">H15/G15-1</f>
        <v>#DIV/0!</v>
      </c>
      <c r="I16" s="24" t="e">
        <f aca="false">I15/H15-1</f>
        <v>#DIV/0!</v>
      </c>
      <c r="J16" s="25" t="s">
        <v>25</v>
      </c>
      <c r="K16" s="24" t="e">
        <f aca="false">K15/I15-1</f>
        <v>#DIV/0!</v>
      </c>
      <c r="L16" s="24" t="e">
        <f aca="false">L15/K15-1</f>
        <v>#DIV/0!</v>
      </c>
      <c r="M16" s="24" t="e">
        <f aca="false">M15/L15-1</f>
        <v>#DIV/0!</v>
      </c>
      <c r="N16" s="24" t="e">
        <f aca="false">N15/M15-1</f>
        <v>#DIV/0!</v>
      </c>
      <c r="O16" s="24" t="e">
        <f aca="false">O15/N15-1</f>
        <v>#DIV/0!</v>
      </c>
      <c r="P16" s="26"/>
      <c r="Q16" s="26"/>
      <c r="R16" s="26"/>
      <c r="S16" s="26"/>
      <c r="T16" s="26"/>
      <c r="U16" s="27" t="n">
        <v>2027</v>
      </c>
    </row>
    <row r="17" customFormat="false" ht="13.8" hidden="false" customHeight="false" outlineLevel="0" collapsed="false">
      <c r="A17" s="0" t="s">
        <v>26</v>
      </c>
      <c r="B17" s="22" t="e">
        <f aca="false">(B19*0.9665)+(0.03354*B23*(1-'[1]Three Statements'!B13))</f>
        <v>#DIV/0!</v>
      </c>
      <c r="C17" s="22" t="e">
        <f aca="false">(C19*0.9665)+(0.03354*C23*(1-'[1]Three Statements'!C13))</f>
        <v>#DIV/0!</v>
      </c>
      <c r="D17" s="22" t="e">
        <f aca="false">(D19*0.9665)+(0.03354*D23*(1-'[1]Three Statements'!D13))</f>
        <v>#DIV/0!</v>
      </c>
      <c r="E17" s="22" t="e">
        <f aca="false">(E19*0.9665)+(0.03354*E23*(1-'[1]Three Statements'!E13))</f>
        <v>#DIV/0!</v>
      </c>
      <c r="F17" s="22" t="e">
        <f aca="false">(F19*0.9665)+(0.03354*F23*(1-'[1]Three Statements'!F13))</f>
        <v>#DIV/0!</v>
      </c>
      <c r="G17" s="22" t="e">
        <f aca="false">(G19*0.9665)+(0.03354*G23*(1-'[1]Three Statements'!G13))</f>
        <v>#DIV/0!</v>
      </c>
      <c r="H17" s="22" t="e">
        <f aca="false">(H19*0.9665)+(0.03354*H23*(1-'[1]Three Statements'!H13))</f>
        <v>#DIV/0!</v>
      </c>
      <c r="I17" s="22" t="e">
        <f aca="false">(I19*0.9665)+(0.03354*I23*(1-'[1]Three Statements'!I13))</f>
        <v>#DIV/0!</v>
      </c>
      <c r="J17" s="0" t="s">
        <v>27</v>
      </c>
      <c r="K17" s="28" t="e">
        <f aca="false">(K19*0.9665)+(0.03354*K23*(1-'[1]Three Statements'!J13))</f>
        <v>#DIV/0!</v>
      </c>
      <c r="L17" s="19"/>
      <c r="M17" s="19"/>
      <c r="N17" s="19"/>
      <c r="O17" s="19"/>
      <c r="U17" s="8" t="n">
        <v>2027</v>
      </c>
    </row>
    <row r="18" customFormat="false" ht="13.8" hidden="false" customHeight="false" outlineLevel="0" collapsed="false">
      <c r="A18" s="29" t="s">
        <v>28</v>
      </c>
      <c r="B18" s="0" t="n">
        <v>1.0865</v>
      </c>
      <c r="C18" s="0" t="n">
        <f aca="false">B18</f>
        <v>1.0865</v>
      </c>
      <c r="D18" s="0" t="n">
        <f aca="false">C18</f>
        <v>1.0865</v>
      </c>
      <c r="E18" s="0" t="n">
        <f aca="false">D18</f>
        <v>1.0865</v>
      </c>
      <c r="F18" s="0" t="n">
        <v>1.1</v>
      </c>
      <c r="G18" s="0" t="n">
        <v>1.1</v>
      </c>
      <c r="H18" s="0" t="n">
        <v>1.1</v>
      </c>
      <c r="I18" s="0" t="n">
        <v>1.1</v>
      </c>
      <c r="J18" s="29" t="s">
        <v>29</v>
      </c>
      <c r="K18" s="0" t="n">
        <v>1.1</v>
      </c>
      <c r="U18" s="8" t="n">
        <v>2027</v>
      </c>
      <c r="V18" s="0" t="s">
        <v>30</v>
      </c>
    </row>
    <row r="19" customFormat="false" ht="13.8" hidden="false" customHeight="false" outlineLevel="0" collapsed="false">
      <c r="A19" s="29" t="s">
        <v>31</v>
      </c>
      <c r="B19" s="21" t="n">
        <f aca="false">B20+B18*(B21-B20)</f>
        <v>0.0131599</v>
      </c>
      <c r="C19" s="21" t="n">
        <f aca="false">C20+C18*(C21-C20)</f>
        <v>0.12594345</v>
      </c>
      <c r="D19" s="21" t="n">
        <f aca="false">D20+D18*(D21-D20)</f>
        <v>0.2326734</v>
      </c>
      <c r="E19" s="21" t="n">
        <f aca="false">E20+E18*-(E21-E20)</f>
        <v>0.09728685</v>
      </c>
      <c r="F19" s="21" t="n">
        <f aca="false">F20+F18*(F21-F20)</f>
        <v>0.34065</v>
      </c>
      <c r="G19" s="21" t="n">
        <f aca="false">G20+G18*(G21-G20)</f>
        <v>0.19634</v>
      </c>
      <c r="H19" s="21" t="n">
        <f aca="false">H20+H18*(H21-H20)</f>
        <v>0.31224</v>
      </c>
      <c r="I19" s="21" t="n">
        <f aca="false">I20+I18*-(I21-I20)</f>
        <v>0.23234</v>
      </c>
      <c r="J19" s="29" t="s">
        <v>32</v>
      </c>
      <c r="K19" s="21" t="n">
        <f aca="false">K20+K18*(K21-K20)</f>
        <v>0.26237</v>
      </c>
      <c r="L19" s="21"/>
      <c r="M19" s="21"/>
      <c r="N19" s="21"/>
      <c r="O19" s="21"/>
      <c r="P19" s="21"/>
      <c r="Q19" s="21"/>
      <c r="R19" s="21"/>
      <c r="S19" s="21"/>
      <c r="T19" s="21"/>
      <c r="U19" s="30" t="n">
        <v>2027</v>
      </c>
    </row>
    <row r="20" customFormat="false" ht="13.8" hidden="false" customHeight="false" outlineLevel="0" collapsed="false">
      <c r="A20" s="29" t="s">
        <v>33</v>
      </c>
      <c r="B20" s="21" t="n">
        <v>0.0212</v>
      </c>
      <c r="C20" s="22" t="n">
        <v>0.0224</v>
      </c>
      <c r="D20" s="22" t="n">
        <v>0.0245</v>
      </c>
      <c r="E20" s="22" t="n">
        <v>0.0246</v>
      </c>
      <c r="F20" s="22" t="n">
        <v>0.0266</v>
      </c>
      <c r="G20" s="22" t="n">
        <v>0.0188</v>
      </c>
      <c r="H20" s="22" t="n">
        <v>0.0093</v>
      </c>
      <c r="I20" s="31" t="n">
        <v>0.0163</v>
      </c>
      <c r="J20" s="32" t="s">
        <v>34</v>
      </c>
      <c r="K20" s="31" t="n">
        <v>0.0163</v>
      </c>
      <c r="L20" s="21"/>
      <c r="M20" s="21"/>
      <c r="N20" s="21"/>
      <c r="O20" s="21"/>
      <c r="P20" s="21"/>
      <c r="Q20" s="21"/>
      <c r="R20" s="21"/>
      <c r="S20" s="21"/>
      <c r="T20" s="21"/>
      <c r="U20" s="30" t="n">
        <v>2027</v>
      </c>
    </row>
    <row r="21" customFormat="false" ht="13.8" hidden="false" customHeight="false" outlineLevel="0" collapsed="false">
      <c r="A21" s="29" t="s">
        <v>35</v>
      </c>
      <c r="B21" s="21" t="n">
        <v>0.0138</v>
      </c>
      <c r="C21" s="22" t="n">
        <v>0.1177</v>
      </c>
      <c r="D21" s="22" t="n">
        <v>0.2161</v>
      </c>
      <c r="E21" s="22" t="n">
        <v>-0.0423</v>
      </c>
      <c r="F21" s="22" t="n">
        <v>0.3121</v>
      </c>
      <c r="G21" s="22" t="n">
        <v>0.1802</v>
      </c>
      <c r="H21" s="22" t="n">
        <v>0.2847</v>
      </c>
      <c r="I21" s="31" t="n">
        <v>-0.1801</v>
      </c>
      <c r="J21" s="29" t="s">
        <v>36</v>
      </c>
      <c r="K21" s="21" t="n">
        <v>0.24</v>
      </c>
      <c r="L21" s="21"/>
      <c r="M21" s="21"/>
      <c r="N21" s="21"/>
      <c r="O21" s="21"/>
      <c r="P21" s="21"/>
      <c r="Q21" s="21"/>
      <c r="R21" s="21"/>
      <c r="S21" s="21"/>
      <c r="T21" s="21"/>
      <c r="U21" s="30" t="n">
        <v>2027</v>
      </c>
      <c r="V21" s="0" t="s">
        <v>37</v>
      </c>
    </row>
    <row r="22" customFormat="false" ht="13.8" hidden="false" customHeight="false" outlineLevel="0" collapsed="false">
      <c r="A22" s="29" t="s">
        <v>38</v>
      </c>
      <c r="B22" s="31" t="n">
        <f aca="false">(B20+0.03)*(1-'[1]Three Statements'!B13)</f>
        <v>0.0398336</v>
      </c>
      <c r="C22" s="31" t="n">
        <f aca="false">(C20+0.03)*(1-'[1]Three Statements'!C13)</f>
        <v>0.0426012</v>
      </c>
      <c r="D22" s="31" t="n">
        <f aca="false">(D20+0.03)*(1-'[1]Three Statements'!D13)</f>
        <v>0.047306</v>
      </c>
      <c r="E22" s="31" t="n">
        <f aca="false">(E20+0.03)*(1-'[1]Three Statements'!E13)</f>
        <v>0.0244062</v>
      </c>
      <c r="F22" s="31" t="n">
        <f aca="false">(F20+0.03)*(1-'[1]Three Statements'!F13)</f>
        <v>0.0474874</v>
      </c>
      <c r="G22" s="31" t="n">
        <f aca="false">(G20+0.03)*(1-'[1]Three Statements'!G13)</f>
        <v>0.0428952</v>
      </c>
      <c r="H22" s="31" t="n">
        <f aca="false">(H20+0.03)*(1-'[1]Three Statements'!H13)</f>
        <v>0.033798</v>
      </c>
      <c r="I22" s="31" t="n">
        <f aca="false">(I20+0.03)*(1-'[1]Three Statements'!I13)</f>
        <v>0.0420867</v>
      </c>
      <c r="J22" s="0" t="s">
        <v>39</v>
      </c>
      <c r="K22" s="31" t="n">
        <f aca="false">(K20+0.03)*(1-'[1]Three Statements'!J13)</f>
        <v>0.0463</v>
      </c>
      <c r="L22" s="21"/>
      <c r="M22" s="21"/>
      <c r="N22" s="21"/>
      <c r="O22" s="21"/>
      <c r="P22" s="21"/>
      <c r="Q22" s="21"/>
      <c r="R22" s="21"/>
      <c r="S22" s="21"/>
      <c r="T22" s="21"/>
      <c r="U22" s="30" t="n">
        <v>2027</v>
      </c>
    </row>
    <row r="23" customFormat="false" ht="13.8" hidden="false" customHeight="false" outlineLevel="0" collapsed="false">
      <c r="A23" s="29" t="s">
        <v>40</v>
      </c>
      <c r="B23" s="21" t="e">
        <f aca="false">([1]Historicals!B39+[1]Historicals!B40+[1]Historicals!B41+[1]Historicals!B46)/[1]Historicals!B36</f>
        <v>#DIV/0!</v>
      </c>
      <c r="C23" s="21" t="e">
        <f aca="false">([1]Historicals!C39+[1]Historicals!C40+[1]Historicals!C41+[1]Historicals!C46)/[1]Historicals!C36</f>
        <v>#DIV/0!</v>
      </c>
      <c r="D23" s="21" t="e">
        <f aca="false">([1]Historicals!D39+[1]Historicals!D40+[1]Historicals!D41+[1]Historicals!D46)/[1]Historicals!D36</f>
        <v>#DIV/0!</v>
      </c>
      <c r="E23" s="21" t="e">
        <f aca="false">([1]Historicals!E39+[1]Historicals!E40+[1]Historicals!E41+[1]Historicals!E46)/[1]Historicals!E36</f>
        <v>#DIV/0!</v>
      </c>
      <c r="F23" s="21" t="e">
        <f aca="false">([1]Historicals!F39+[1]Historicals!F40+[1]Historicals!F41+[1]Historicals!F46)/[1]Historicals!F36</f>
        <v>#DIV/0!</v>
      </c>
      <c r="G23" s="21" t="e">
        <f aca="false">([1]Historicals!G39+[1]Historicals!G40+[1]Historicals!G41+[1]Historicals!G46)/[1]Historicals!G36</f>
        <v>#DIV/0!</v>
      </c>
      <c r="H23" s="21" t="e">
        <f aca="false">([1]Historicals!H39+[1]Historicals!H40+[1]Historicals!H41+[1]Historicals!H46)/[1]Historicals!H36</f>
        <v>#DIV/0!</v>
      </c>
      <c r="I23" s="21" t="e">
        <f aca="false">([1]Historicals!I39+[1]Historicals!I40+[1]Historicals!I41+[1]Historicals!I46)/[1]Historicals!I36</f>
        <v>#DIV/0!</v>
      </c>
      <c r="J23" s="0" t="s">
        <v>39</v>
      </c>
      <c r="K23" s="21" t="e">
        <f aca="false">('[1]Three Statements'!J33+'[1]Three Statements'!J34+'[1]Three Statements'!J36)/'[1]Three Statements'!J31</f>
        <v>#DIV/0!</v>
      </c>
      <c r="L23" s="21"/>
      <c r="M23" s="21"/>
      <c r="N23" s="21"/>
      <c r="O23" s="21"/>
      <c r="P23" s="21"/>
      <c r="Q23" s="21"/>
      <c r="R23" s="21"/>
      <c r="S23" s="21"/>
      <c r="T23" s="21"/>
      <c r="U23" s="30" t="n">
        <v>2027</v>
      </c>
    </row>
    <row r="24" customFormat="false" ht="13.8" hidden="false" customHeight="false" outlineLevel="0" collapsed="false">
      <c r="A24" s="33" t="s">
        <v>41</v>
      </c>
      <c r="J24" s="0" t="s">
        <v>42</v>
      </c>
      <c r="K24" s="19"/>
      <c r="L24" s="19"/>
      <c r="M24" s="19"/>
      <c r="N24" s="19"/>
      <c r="O24" s="19"/>
    </row>
    <row r="25" customFormat="false" ht="13.8" hidden="false" customHeight="false" outlineLevel="0" collapsed="false">
      <c r="K25" s="19"/>
      <c r="L25" s="19"/>
      <c r="M25" s="19"/>
      <c r="N25" s="19"/>
      <c r="O25" s="19"/>
    </row>
    <row r="26" customFormat="false" ht="13.8" hidden="false" customHeight="false" outlineLevel="0" collapsed="false">
      <c r="A26" s="34" t="s">
        <v>43</v>
      </c>
      <c r="B26" s="35" t="s">
        <v>44</v>
      </c>
      <c r="I26" s="36" t="n">
        <f aca="false">T15/(1+I20)^10</f>
        <v>0</v>
      </c>
      <c r="K26" s="36" t="n">
        <f aca="false">T15/(1+K20)^10</f>
        <v>0</v>
      </c>
      <c r="L26" s="19"/>
      <c r="M26" s="19"/>
      <c r="N26" s="19"/>
      <c r="O26" s="19"/>
      <c r="U26" s="8" t="n">
        <v>2027</v>
      </c>
    </row>
    <row r="27" customFormat="false" ht="13.8" hidden="false" customHeight="false" outlineLevel="0" collapsed="false">
      <c r="A27" s="37" t="s">
        <v>45</v>
      </c>
      <c r="B27" s="38" t="s">
        <v>44</v>
      </c>
      <c r="I27" s="36" t="e">
        <f aca="false">B33/(1+I20)^10</f>
        <v>#DIV/0!</v>
      </c>
      <c r="K27" s="36" t="e">
        <f aca="false">B33/(1+K20)^10</f>
        <v>#DIV/0!</v>
      </c>
      <c r="L27" s="19"/>
      <c r="M27" s="19"/>
      <c r="N27" s="19"/>
      <c r="O27" s="19"/>
      <c r="U27" s="8" t="n">
        <v>2027</v>
      </c>
    </row>
    <row r="28" customFormat="false" ht="13.8" hidden="false" customHeight="false" outlineLevel="0" collapsed="false">
      <c r="A28" s="37" t="s">
        <v>46</v>
      </c>
      <c r="B28" s="38" t="s">
        <v>47</v>
      </c>
      <c r="C28" s="39"/>
      <c r="D28" s="39"/>
      <c r="E28" s="39"/>
      <c r="F28" s="39"/>
      <c r="G28" s="39"/>
      <c r="H28" s="39"/>
      <c r="I28" s="40" t="e">
        <f aca="false">I26+I27</f>
        <v>#DIV/0!</v>
      </c>
      <c r="K28" s="40" t="e">
        <f aca="false">K26+K27</f>
        <v>#DIV/0!</v>
      </c>
      <c r="U28" s="8" t="n">
        <v>2027</v>
      </c>
    </row>
    <row r="29" customFormat="false" ht="13.8" hidden="false" customHeight="false" outlineLevel="0" collapsed="false">
      <c r="A29" s="37" t="s">
        <v>48</v>
      </c>
      <c r="B29" s="38"/>
      <c r="I29" s="36" t="n">
        <f aca="false">[1]Historicals!I40+[1]Historicals!I39+[1]Historicals!I46</f>
        <v>9420</v>
      </c>
      <c r="K29" s="20" t="n">
        <f aca="false">'[1]Three Statements'!J33+'[1]Three Statements'!J34+'[1]Three Statements'!J36</f>
        <v>0</v>
      </c>
      <c r="U29" s="8" t="n">
        <v>2027</v>
      </c>
    </row>
    <row r="30" customFormat="false" ht="13.8" hidden="false" customHeight="false" outlineLevel="0" collapsed="false">
      <c r="A30" s="37" t="s">
        <v>49</v>
      </c>
      <c r="B30" s="38"/>
      <c r="I30" s="36" t="n">
        <f aca="false">I4-I29</f>
        <v>183765.433333333</v>
      </c>
      <c r="K30" s="36" t="n">
        <f aca="false">K4-K29</f>
        <v>0</v>
      </c>
      <c r="U30" s="8" t="n">
        <v>2027</v>
      </c>
    </row>
    <row r="31" customFormat="false" ht="13.8" hidden="false" customHeight="false" outlineLevel="0" collapsed="false">
      <c r="A31" s="41" t="s">
        <v>50</v>
      </c>
      <c r="B31" s="42"/>
      <c r="C31" s="39"/>
      <c r="D31" s="39"/>
      <c r="E31" s="39"/>
      <c r="F31" s="39"/>
      <c r="G31" s="39"/>
      <c r="H31" s="39"/>
      <c r="I31" s="40" t="n">
        <f aca="false">I30/[1]Historicals!I18</f>
        <v>114.083333333333</v>
      </c>
      <c r="K31" s="40" t="e">
        <f aca="false">K30/'[1]Three Statements'!J15</f>
        <v>#DIV/0!</v>
      </c>
      <c r="U31" s="8" t="n">
        <v>2027</v>
      </c>
    </row>
    <row r="33" customFormat="false" ht="13.8" hidden="false" customHeight="false" outlineLevel="0" collapsed="false">
      <c r="A33" s="0" t="s">
        <v>51</v>
      </c>
      <c r="B33" s="36" t="e">
        <f aca="false">(T15*(1+O16))/(I17-O16)</f>
        <v>#DIV/0!</v>
      </c>
      <c r="C33" s="36"/>
      <c r="D33" s="36"/>
      <c r="E33" s="36"/>
      <c r="F33" s="36"/>
      <c r="G33" s="36"/>
      <c r="H33" s="36"/>
      <c r="I33" s="43"/>
    </row>
  </sheetData>
  <hyperlinks>
    <hyperlink ref="J20" r:id="rId1" display="https://www.treasury.gov/resource-center/data-chart-center/interest-rates/Pages/TextView.aspx?data=longtermrat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2020-05-20T17:26:08Z</dcterms:created>
  <dc:creator/>
  <dc:description/>
  <dc:language>en-GB</dc:language>
  <cp:lastModifiedBy/>
  <dcterms:modified xsi:type="dcterms:W3CDTF">2024-04-07T18:32:16Z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