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rylouis/Downloads/"/>
    </mc:Choice>
  </mc:AlternateContent>
  <xr:revisionPtr revIDLastSave="0" documentId="13_ncr:1_{B651D964-B60D-2940-9468-43043D5A0E76}" xr6:coauthVersionLast="46" xr6:coauthVersionMax="47" xr10:uidLastSave="{00000000-0000-0000-0000-000000000000}"/>
  <bookViews>
    <workbookView xWindow="0" yWindow="500" windowWidth="2326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3" l="1"/>
  <c r="E50" i="3"/>
  <c r="C50" i="3"/>
  <c r="E51" i="3"/>
  <c r="D51" i="3"/>
  <c r="C51" i="3"/>
  <c r="D49" i="3"/>
  <c r="E49" i="3"/>
  <c r="C49" i="3"/>
  <c r="D48" i="3"/>
  <c r="E48" i="3"/>
  <c r="C48" i="3"/>
  <c r="C47" i="3"/>
  <c r="D47" i="3"/>
  <c r="E47" i="3"/>
  <c r="E40" i="3"/>
  <c r="D40" i="3"/>
  <c r="C40" i="3"/>
  <c r="E46" i="3"/>
  <c r="D46" i="3"/>
  <c r="C46" i="3"/>
  <c r="D41" i="3"/>
  <c r="E41" i="3"/>
  <c r="D45" i="3"/>
  <c r="E45" i="3"/>
  <c r="C45" i="3"/>
  <c r="D44" i="3"/>
  <c r="E44" i="3"/>
  <c r="C44" i="3"/>
  <c r="E42" i="3"/>
  <c r="D42" i="3"/>
  <c r="C42" i="3"/>
  <c r="B48" i="1"/>
  <c r="D19" i="3"/>
  <c r="D18" i="3" s="1"/>
  <c r="E19" i="3"/>
  <c r="E18" i="3" s="1"/>
  <c r="D21" i="3"/>
  <c r="D20" i="3" s="1"/>
  <c r="E21" i="3"/>
  <c r="E20" i="3" s="1"/>
  <c r="D22" i="3"/>
  <c r="E22" i="3"/>
  <c r="D25" i="3"/>
  <c r="E25" i="3"/>
  <c r="D26" i="3"/>
  <c r="E26" i="3"/>
  <c r="D27" i="3"/>
  <c r="E27" i="3"/>
  <c r="D28" i="3"/>
  <c r="E28" i="3"/>
  <c r="D29" i="3"/>
  <c r="E29" i="3"/>
  <c r="D34" i="3"/>
  <c r="E34" i="3"/>
  <c r="D35" i="3"/>
  <c r="E35" i="3"/>
  <c r="D36" i="3"/>
  <c r="E36" i="3"/>
  <c r="D37" i="3"/>
  <c r="E37" i="3"/>
  <c r="C37" i="3"/>
  <c r="C36" i="3"/>
  <c r="C35" i="3"/>
  <c r="C34" i="3"/>
  <c r="D31" i="3"/>
  <c r="C31" i="3"/>
  <c r="C28" i="3"/>
  <c r="C29" i="3"/>
  <c r="C27" i="3"/>
  <c r="C26" i="3"/>
  <c r="C25" i="3"/>
  <c r="C22" i="3"/>
  <c r="C20" i="3"/>
  <c r="C18" i="3"/>
  <c r="C21" i="3"/>
  <c r="C19" i="3"/>
  <c r="C41" i="3"/>
  <c r="D17" i="3"/>
  <c r="E17" i="3"/>
  <c r="C17" i="3"/>
  <c r="D6" i="3"/>
  <c r="E6" i="3"/>
  <c r="D7" i="3"/>
  <c r="E7" i="3"/>
  <c r="D8" i="3"/>
  <c r="E8" i="3"/>
  <c r="D9" i="3"/>
  <c r="E9" i="3"/>
  <c r="D10" i="3"/>
  <c r="E10" i="3"/>
  <c r="D11" i="3"/>
  <c r="E11" i="3"/>
  <c r="D14" i="3"/>
  <c r="D13" i="3" s="1"/>
  <c r="E14" i="3"/>
  <c r="E13" i="3" s="1"/>
  <c r="C13" i="3"/>
  <c r="C14" i="3"/>
  <c r="C11" i="3"/>
  <c r="C10" i="3"/>
  <c r="C9" i="3"/>
  <c r="C8" i="3"/>
  <c r="C7" i="3"/>
  <c r="C6" i="3"/>
  <c r="D5" i="3"/>
  <c r="E5" i="3"/>
  <c r="C5" i="3"/>
  <c r="D8" i="1"/>
  <c r="D12" i="1"/>
  <c r="D13" i="1"/>
  <c r="D17" i="1"/>
  <c r="D18" i="1"/>
  <c r="D20" i="1"/>
  <c r="D22" i="1"/>
  <c r="D76" i="1"/>
  <c r="D91" i="1"/>
  <c r="D99" i="1"/>
  <c r="D108" i="1"/>
  <c r="D109" i="1"/>
  <c r="B8" i="1"/>
  <c r="B12" i="1"/>
  <c r="B13" i="1"/>
  <c r="B17" i="1"/>
  <c r="B18" i="1"/>
  <c r="B20" i="1"/>
  <c r="B22" i="1"/>
  <c r="B76" i="1"/>
  <c r="B91" i="1"/>
  <c r="B99" i="1"/>
  <c r="B108" i="1"/>
  <c r="B109" i="1"/>
  <c r="C108" i="1"/>
  <c r="C99" i="1"/>
  <c r="D68" i="1"/>
  <c r="C68" i="1"/>
  <c r="B68" i="1"/>
  <c r="D61" i="1"/>
  <c r="C61" i="1"/>
  <c r="B61" i="1"/>
  <c r="D56" i="1"/>
  <c r="C56" i="1"/>
  <c r="C62" i="1"/>
  <c r="B56" i="1"/>
  <c r="B62" i="1"/>
  <c r="B42" i="1"/>
  <c r="B47" i="1"/>
  <c r="D47" i="1"/>
  <c r="C47" i="1"/>
  <c r="D42" i="1"/>
  <c r="C42" i="1"/>
  <c r="C17" i="1"/>
  <c r="C12" i="1"/>
  <c r="C8" i="1"/>
  <c r="C13" i="1"/>
  <c r="C18" i="1"/>
  <c r="C20" i="1"/>
  <c r="C22" i="1"/>
  <c r="C76" i="1"/>
  <c r="C91" i="1"/>
  <c r="C109" i="1"/>
  <c r="E3" i="3"/>
  <c r="D3" i="3"/>
  <c r="C3" i="3"/>
  <c r="D33" i="1"/>
  <c r="D73" i="1"/>
  <c r="C33" i="1"/>
  <c r="C73" i="1"/>
  <c r="B33" i="1"/>
  <c r="B73" i="1"/>
  <c r="C48" i="1"/>
  <c r="D62" i="1"/>
  <c r="D69" i="1"/>
  <c r="C69" i="1"/>
  <c r="D48" i="1"/>
  <c r="B69" i="1"/>
  <c r="A47" i="3"/>
  <c r="A49" i="3"/>
  <c r="A16" i="3"/>
  <c r="A24" i="3"/>
  <c r="A25" i="3"/>
  <c r="A26" i="3"/>
  <c r="A27" i="3"/>
  <c r="A28" i="3"/>
  <c r="A29" i="3"/>
  <c r="A30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A33" i="3"/>
  <c r="A39" i="3"/>
  <c r="A40" i="3"/>
  <c r="A41" i="3"/>
  <c r="A42" i="3"/>
  <c r="A43" i="3"/>
  <c r="A44" i="3"/>
  <c r="A46" i="3"/>
  <c r="A48" i="3"/>
  <c r="A50" i="3"/>
  <c r="A34" i="3"/>
  <c r="A35" i="3"/>
  <c r="A36" i="3"/>
  <c r="A37" i="3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<sst xmlns="http://schemas.openxmlformats.org/spreadsheetml/2006/main" count="173" uniqueCount="150">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</sst>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10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97" zoomScale="130" zoomScaleNormal="130" workbookViewId="0">
      <selection activeCell="A65" sqref="A6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142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C42" sqref="C42"/>
    </sheetView>
  </sheetViews>
  <sheetFormatPr baseColWidth="10" defaultColWidth="8.83203125" defaultRowHeight="15" x14ac:dyDescent="0.2"/>
  <cols>
    <col min="1" max="1" width="4.6640625" customWidth="1"/>
    <col min="2" max="2" width="45" customWidth="1"/>
    <col min="3" max="3" width="9.1640625" bestFit="1" customWidth="1"/>
    <col min="4" max="4" width="11.1640625" bestFit="1" customWidth="1"/>
    <col min="5" max="5" width="12.1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4" t="s">
        <v>23</v>
      </c>
      <c r="D2" s="24"/>
      <c r="E2" s="24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SUM('Financial Statements'!B36:B38)/(('Financial Statements'!B17-'Financial Statements'!B79)/365)</f>
        <v>693.77301756914596</v>
      </c>
      <c r="D8">
        <f>SUM('Financial Statements'!C36:C38)/(('Financial Statements'!C17-'Financial Statements'!C79)/365)</f>
        <v>995.4514921939699</v>
      </c>
      <c r="E8">
        <f>SUM('Financial Statements'!D36:D38)/(('Financial Statements'!D17-'Financial Statements'!D79)/365)</f>
        <v>1415.254056207446</v>
      </c>
    </row>
    <row r="9" spans="1:10" x14ac:dyDescent="0.2">
      <c r="A9" s="18">
        <f t="shared" si="0"/>
        <v>1.5000000000000004</v>
      </c>
      <c r="B9" s="1" t="s">
        <v>104</v>
      </c>
      <c r="C9">
        <f>(('Financial Statements'!B39+'Financial Statements'!B85)/2)/'Financial Statements'!B12*365</f>
        <v>5.2493670206579406</v>
      </c>
      <c r="D9">
        <f>(('Financial Statements'!C39+'Financial Statements'!C85)/2)/'Financial Statements'!C12*365</f>
        <v>3.3744089848390235</v>
      </c>
      <c r="E9">
        <f>(('Financial Statements'!D39+'Financial Statements'!D85)/2)/'Financial Statements'!D12*365</f>
        <v>4.2342488455345926</v>
      </c>
    </row>
    <row r="10" spans="1:10" x14ac:dyDescent="0.2">
      <c r="A10" s="18">
        <f t="shared" si="0"/>
        <v>1.6000000000000005</v>
      </c>
      <c r="B10" s="1" t="s">
        <v>105</v>
      </c>
      <c r="C10">
        <f>'Financial Statements'!B51/('Financial Statements'!B12/365)</f>
        <v>104.68527730310541</v>
      </c>
      <c r="D10">
        <f>'Financial Statements'!C51/('Financial Statements'!C12/365)</f>
        <v>93.85107122231561</v>
      </c>
      <c r="E10">
        <f>'Financial Statements'!D51/('Financial Statements'!D12/365)</f>
        <v>91.048189715674184</v>
      </c>
    </row>
    <row r="11" spans="1:10" x14ac:dyDescent="0.2">
      <c r="A11" s="18">
        <f t="shared" si="0"/>
        <v>1.7000000000000006</v>
      </c>
      <c r="B11" s="1" t="s">
        <v>106</v>
      </c>
      <c r="C11">
        <f>('Financial Statements'!B38/'Financial Statements'!B8)*365</f>
        <v>26.087825363656648</v>
      </c>
      <c r="D11">
        <f>('Financial Statements'!C38/'Financial Statements'!C8)*365</f>
        <v>26.219311841713207</v>
      </c>
      <c r="E11">
        <f>('Financial Statements'!D38/'Financial Statements'!D8)*365</f>
        <v>21.433437152796749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  <c r="C13">
        <f>C14/'Financial Statements'!B8</f>
        <v>-4.711052727678481E-2</v>
      </c>
      <c r="D13">
        <f>D14/'Financial Statements'!C8</f>
        <v>2.557289573748623E-2</v>
      </c>
      <c r="E13">
        <f>E14/'Financial Statements'!D8</f>
        <v>0.13959528623208203</v>
      </c>
    </row>
    <row r="14" spans="1:10" x14ac:dyDescent="0.2">
      <c r="A14" s="18"/>
      <c r="B14" s="3" t="s">
        <v>109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('Financial Statements'!B8-'Financial Statements'!B12)/'Financial Statements'!B8</f>
        <v>0.43309630561360085</v>
      </c>
      <c r="D17">
        <f>('Financial Statements'!C8-'Financial Statements'!C12)/'Financial Statements'!C8</f>
        <v>0.41779359625167778</v>
      </c>
      <c r="E17">
        <f>('Financial Statements'!D8-'Financial Statements'!D12)/'Financial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>
        <f>C19/'Financial Statements'!B8</f>
        <v>0.3310467428130896</v>
      </c>
      <c r="D18">
        <f>D19/'Financial Statements'!C8</f>
        <v>0.32866979938056462</v>
      </c>
      <c r="E18">
        <f>E19/'Financial Statements'!D8</f>
        <v>0.2817478097736007</v>
      </c>
    </row>
    <row r="19" spans="1:5" x14ac:dyDescent="0.2">
      <c r="A19" s="18"/>
      <c r="B19" s="3" t="s">
        <v>112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</f>
        <v>0.30288744395528594</v>
      </c>
      <c r="D20">
        <f>D21/'Financial Statements'!C8</f>
        <v>0.29782377527561593</v>
      </c>
      <c r="E20">
        <f>E21/'Financial Statements'!D8</f>
        <v>0.24147314354406862</v>
      </c>
    </row>
    <row r="21" spans="1:5" x14ac:dyDescent="0.2">
      <c r="A21" s="18"/>
      <c r="B21" s="3" t="s">
        <v>114</v>
      </c>
      <c r="C21">
        <f>'Financial Statements'!B18</f>
        <v>119437</v>
      </c>
      <c r="D21">
        <f>'Financial Statements'!C18</f>
        <v>108949</v>
      </c>
      <c r="E21">
        <f>'Financial Statements'!D18</f>
        <v>66288</v>
      </c>
    </row>
    <row r="22" spans="1:5" x14ac:dyDescent="0.2">
      <c r="A22" s="18">
        <f>+A20+0.1</f>
        <v>2.4000000000000004</v>
      </c>
      <c r="B22" s="1" t="s">
        <v>115</v>
      </c>
      <c r="C22" s="26">
        <f>'Financial Statements'!B22/'Financial Statements'!B8</f>
        <v>0.25309640705199732</v>
      </c>
      <c r="D22" s="26">
        <f>'Financial Statements'!C22/'Financial Statements'!C8</f>
        <v>0.25881793355694238</v>
      </c>
      <c r="E22" s="26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Statements'!B59)/'Financial Statements'!B68</f>
        <v>2.1725410483107042</v>
      </c>
      <c r="D25">
        <f>('Financial Statements'!C55+'Financial Statements'!C59)/'Financial Statements'!C68</f>
        <v>1.8817403708987162</v>
      </c>
      <c r="E25">
        <f>('Financial Statements'!D55+'Financial Statements'!D59)/'Financial Statements'!D68</f>
        <v>1.6443471739696047</v>
      </c>
    </row>
    <row r="26" spans="1:5" x14ac:dyDescent="0.2">
      <c r="A26" s="18">
        <f t="shared" ref="A26:A30" si="1">+A25+0.1</f>
        <v>3.2</v>
      </c>
      <c r="B26" s="1" t="s">
        <v>118</v>
      </c>
      <c r="C26">
        <f>('Financial Statements'!B55+'Financial Statements'!B59)/'Financial Statements'!B48</f>
        <v>0.31207778769967826</v>
      </c>
      <c r="D26">
        <f>('Financial Statements'!C55+'Financial Statements'!C59)/'Financial Statements'!C48</f>
        <v>0.33822884200090025</v>
      </c>
      <c r="E26">
        <f>('Financial Statements'!D55+'Financial Statements'!D59)/'Financial Statements'!D48</f>
        <v>0.33171960677765155</v>
      </c>
    </row>
    <row r="27" spans="1:5" x14ac:dyDescent="0.2">
      <c r="A27" s="18">
        <f t="shared" si="1"/>
        <v>3.3000000000000003</v>
      </c>
      <c r="B27" s="1" t="s">
        <v>119</v>
      </c>
      <c r="C27">
        <f>'Financial Statements'!B59/('Financial Statements'!B59+'Financial Statements'!B65)</f>
        <v>0.60411579410041027</v>
      </c>
      <c r="D27">
        <f>'Financial Statements'!C59/('Financial Statements'!C59+'Financial Statements'!C65)</f>
        <v>0.65540544599359651</v>
      </c>
      <c r="E27">
        <f>'Financial Statements'!D59/('Financial Statements'!D59+'Financial Statements'!D65)</f>
        <v>0.66021840664855536</v>
      </c>
    </row>
    <row r="28" spans="1:5" x14ac:dyDescent="0.2">
      <c r="A28" s="18">
        <f t="shared" si="1"/>
        <v>3.4000000000000004</v>
      </c>
      <c r="B28" s="1" t="s">
        <v>120</v>
      </c>
      <c r="C28">
        <f>'Financial Statements'!B20/'Financial Statements'!B114</f>
        <v>41.571727748691103</v>
      </c>
      <c r="D28">
        <f>'Financial Statements'!C20/'Financial Statements'!C114</f>
        <v>40.642724227763303</v>
      </c>
      <c r="E28">
        <f>'Financial Statements'!D20/'Financial Statements'!D114</f>
        <v>22.348767488341107</v>
      </c>
    </row>
    <row r="29" spans="1:5" x14ac:dyDescent="0.2">
      <c r="A29" s="18">
        <f t="shared" si="1"/>
        <v>3.5000000000000004</v>
      </c>
      <c r="B29" s="1" t="s">
        <v>121</v>
      </c>
      <c r="C29">
        <f>('Financial Statements'!B18+'Financial Statements'!B79-'Financial Statements'!B113)/('Financial Statements'!B114+'Financial Statements'!B55)</f>
        <v>7.9302508397055673</v>
      </c>
      <c r="D29">
        <f>('Financial Statements'!C18+'Financial Statements'!C79-'Financial Statements'!C113)/('Financial Statements'!C114+'Financial Statements'!C55)</f>
        <v>7.7112195121951217</v>
      </c>
      <c r="E29">
        <f>('Financial Statements'!D18+'Financial Statements'!D79-'Financial Statements'!D113)/('Financial Statements'!D114+'Financial Statements'!D55)</f>
        <v>5.7616135881104036</v>
      </c>
    </row>
    <row r="30" spans="1:5" x14ac:dyDescent="0.2">
      <c r="A30" s="18">
        <f t="shared" si="1"/>
        <v>3.6000000000000005</v>
      </c>
      <c r="B30" s="1" t="s">
        <v>122</v>
      </c>
    </row>
    <row r="31" spans="1:5" x14ac:dyDescent="0.2">
      <c r="A31" s="18"/>
      <c r="B31" s="3" t="s">
        <v>123</v>
      </c>
      <c r="C31">
        <f>('Financial Statements'!B91+'Financial Statements'!B79+'Financial Statements'!B99+'Financial Statements'!B80)-('Financial Statements'!B45-'Financial Statements'!C45+'Financial Statements'!B79)</f>
        <v>106158</v>
      </c>
      <c r="D31">
        <f>('Financial Statements'!C91+'Financial Statements'!C79+'Financial Statements'!C99+'Financial Statements'!C80)-('Financial Statements'!C45-'Financial Statements'!D45+'Financial Statements'!C79)</f>
        <v>94725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f>'Financial Statements'!B8/('Financial Statements'!B45-'Financial Statements'!B79)</f>
        <v>12.714925998774707</v>
      </c>
      <c r="D35">
        <f>'Financial Statements'!C8/('Financial Statements'!C45-'Financial Statements'!C79)</f>
        <v>12.992506037789459</v>
      </c>
      <c r="E35">
        <f>'Financial Statements'!D8/('Financial Statements'!D45-'Financial Statements'!D79)</f>
        <v>10.677362893815635</v>
      </c>
    </row>
    <row r="36" spans="1:5" x14ac:dyDescent="0.2">
      <c r="A36" s="18">
        <f t="shared" si="2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">
      <c r="A37" s="18">
        <f t="shared" si="2"/>
        <v>4.3999999999999986</v>
      </c>
      <c r="B37" s="1" t="s">
        <v>128</v>
      </c>
      <c r="C37" s="26">
        <f>'Financial Statements'!B22/'Financial Statements'!B48</f>
        <v>0.28292440929256851</v>
      </c>
      <c r="D37" s="26">
        <f>'Financial Statements'!C22/'Financial Statements'!C48</f>
        <v>0.26974205275183616</v>
      </c>
      <c r="E37" s="26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129.21/C41</f>
        <v>21.009756097560977</v>
      </c>
      <c r="D40">
        <f>175.57/D41</f>
        <v>30.964726631393297</v>
      </c>
      <c r="E40">
        <f>130.39/E41</f>
        <v>39.392749244712988</v>
      </c>
    </row>
    <row r="41" spans="1:5" x14ac:dyDescent="0.2">
      <c r="A41" s="18">
        <f t="shared" ref="A41:A44" si="3"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 t="shared" si="3"/>
        <v>5.2999999999999989</v>
      </c>
      <c r="B42" s="1" t="s">
        <v>132</v>
      </c>
      <c r="C42">
        <f>(2.066*10^6)/('Financial Statements'!B48-'Financial Statements'!B62)</f>
        <v>40.772023997473944</v>
      </c>
      <c r="D42">
        <f>(2.901*10^6)/('Financial Statements'!C48-'Financial Statements'!C62)</f>
        <v>45.981930575368523</v>
      </c>
      <c r="E42">
        <f>(2.255*10^6)/('Financial Statements'!C48-'Financial Statements'!C62)</f>
        <v>35.742589950863845</v>
      </c>
    </row>
    <row r="43" spans="1:5" x14ac:dyDescent="0.2">
      <c r="A43" s="18">
        <f t="shared" si="3"/>
        <v>5.3999999999999986</v>
      </c>
      <c r="B43" s="3" t="s">
        <v>133</v>
      </c>
    </row>
    <row r="44" spans="1:5" x14ac:dyDescent="0.2">
      <c r="A44" s="18">
        <f t="shared" si="3"/>
        <v>5.4999999999999982</v>
      </c>
      <c r="B44" s="1" t="s">
        <v>134</v>
      </c>
      <c r="C44" s="26">
        <f>-'Financial Statements'!B102/'Financial Statements'!B22</f>
        <v>0.14870294480125848</v>
      </c>
      <c r="D44" s="26">
        <f>-'Financial Statements'!C102/'Financial Statements'!C22</f>
        <v>0.15279890156316012</v>
      </c>
      <c r="E44" s="26">
        <f>-'Financial Statements'!D102/'Financial Statements'!D22</f>
        <v>0.24526658654264863</v>
      </c>
    </row>
    <row r="45" spans="1:5" x14ac:dyDescent="0.2">
      <c r="A45" s="18"/>
      <c r="B45" s="3" t="s">
        <v>135</v>
      </c>
      <c r="C45">
        <f>C41*C44</f>
        <v>0.91452311052773971</v>
      </c>
      <c r="D45">
        <f t="shared" ref="D45:E45" si="4">D41*D44</f>
        <v>0.86636977186311781</v>
      </c>
      <c r="E45">
        <f t="shared" si="4"/>
        <v>0.81183240145616697</v>
      </c>
    </row>
    <row r="46" spans="1:5" x14ac:dyDescent="0.2">
      <c r="A46" s="18">
        <f>+A44+0.1</f>
        <v>5.5999999999999979</v>
      </c>
      <c r="B46" s="1" t="s">
        <v>136</v>
      </c>
      <c r="C46">
        <f>C45/129.21</f>
        <v>7.0778044309862988E-3</v>
      </c>
      <c r="D46">
        <f>D45/175.57</f>
        <v>4.9346116754748412E-3</v>
      </c>
      <c r="E46">
        <f>E45/130.39</f>
        <v>6.2261860683807584E-3</v>
      </c>
    </row>
    <row r="47" spans="1:5" x14ac:dyDescent="0.2">
      <c r="A47" s="18">
        <f t="shared" ref="A47:A50" si="5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5"/>
        <v>5.6999999999999975</v>
      </c>
      <c r="B48" s="1" t="s">
        <v>138</v>
      </c>
      <c r="C48">
        <f>'Financial Statements'!B22/('Financial Statements'!B48-'Financial Statements'!B56)</f>
        <v>0.502095355002943</v>
      </c>
      <c r="D48">
        <f>'Financial Statements'!C22/('Financial Statements'!C48-'Financial Statements'!C56)</f>
        <v>0.41982786525423355</v>
      </c>
      <c r="E48">
        <f>'Financial Statements'!D22/('Financial Statements'!D48-'Financial Statements'!D56)</f>
        <v>0.26275538224956063</v>
      </c>
    </row>
    <row r="49" spans="1:5" x14ac:dyDescent="0.2">
      <c r="A49" s="18">
        <f t="shared" si="5"/>
        <v>0.2</v>
      </c>
      <c r="B49" s="1" t="s">
        <v>128</v>
      </c>
      <c r="C49" s="27">
        <f>C37</f>
        <v>0.28292440929256851</v>
      </c>
      <c r="D49" s="27">
        <f t="shared" ref="D49:E49" si="6">D37</f>
        <v>0.26974205275183616</v>
      </c>
      <c r="E49" s="27">
        <f t="shared" si="6"/>
        <v>0.1772557180259843</v>
      </c>
    </row>
    <row r="50" spans="1:5" x14ac:dyDescent="0.2">
      <c r="A50" s="18">
        <f t="shared" si="5"/>
        <v>5.7999999999999972</v>
      </c>
      <c r="B50" s="1" t="s">
        <v>139</v>
      </c>
      <c r="C50">
        <f>C51/('Financial Statements'!B18+'Financial Statements'!B79)</f>
        <v>16.488620433427045</v>
      </c>
      <c r="D50">
        <f>D51/('Financial Statements'!C18+'Financial Statements'!C79)</f>
        <v>24.824956542712901</v>
      </c>
      <c r="E50">
        <f>E51/('Financial Statements'!D18+'Financial Statements'!D79)</f>
        <v>30.053061646669423</v>
      </c>
    </row>
    <row r="51" spans="1:5" x14ac:dyDescent="0.2">
      <c r="A51" s="18"/>
      <c r="B51" s="3" t="s">
        <v>140</v>
      </c>
      <c r="C51">
        <f>(2.066*10^6)+'Financial Statements'!B55+'Financial Statements'!B59-'Financial Statements'!B36</f>
        <v>2152441</v>
      </c>
      <c r="D51">
        <f>(2.901*10^6)+'Financial Statements'!C55+'Financial Statements'!C59-'Financial Statements'!C36</f>
        <v>2984779</v>
      </c>
      <c r="E51">
        <f>(2.255*10^6)+'Financial Statements'!D55+'Financial Statements'!D59-'Financial Statements'!D36</f>
        <v>2324424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Gabriel Louis</cp:lastModifiedBy>
  <dcterms:created xsi:type="dcterms:W3CDTF">2020-05-18T16:32:37Z</dcterms:created>
  <dcterms:modified xsi:type="dcterms:W3CDTF">2023-12-04T09:22:55Z</dcterms:modified>
</cp:coreProperties>
</file>