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errylouis/Downloads/"/>
    </mc:Choice>
  </mc:AlternateContent>
  <xr:revisionPtr revIDLastSave="0" documentId="13_ncr:1_{B651D964-B60D-2940-9468-43043D5A0E76}" xr6:coauthVersionLast="46" xr6:coauthVersionMax="47" xr10:uidLastSave="{00000000-0000-0000-0000-000000000000}"/>
  <bookViews>
    <workbookView xWindow="0" yWindow="500" windowWidth="23260" windowHeight="15720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0" i="3" l="1"/>
  <c r="E50" i="3"/>
  <c r="C50" i="3"/>
  <c r="E51" i="3"/>
  <c r="D51" i="3"/>
  <c r="C51" i="3"/>
  <c r="D49" i="3"/>
  <c r="E49" i="3"/>
  <c r="C49" i="3"/>
  <c r="D48" i="3"/>
  <c r="E48" i="3"/>
  <c r="C48" i="3"/>
  <c r="C47" i="3"/>
  <c r="D47" i="3"/>
  <c r="E47" i="3"/>
  <c r="E40" i="3"/>
  <c r="D40" i="3"/>
  <c r="C40" i="3"/>
  <c r="E46" i="3"/>
  <c r="D46" i="3"/>
  <c r="C46" i="3"/>
  <c r="D41" i="3"/>
  <c r="E41" i="3"/>
  <c r="D45" i="3"/>
  <c r="E45" i="3"/>
  <c r="C45" i="3"/>
  <c r="D44" i="3"/>
  <c r="E44" i="3"/>
  <c r="C44" i="3"/>
  <c r="E42" i="3"/>
  <c r="D42" i="3"/>
  <c r="C42" i="3"/>
  <c r="B48" i="1"/>
  <c r="D19" i="3"/>
  <c r="D18" i="3" s="1"/>
  <c r="E19" i="3"/>
  <c r="E18" i="3" s="1"/>
  <c r="D21" i="3"/>
  <c r="D20" i="3" s="1"/>
  <c r="E21" i="3"/>
  <c r="E20" i="3" s="1"/>
  <c r="D22" i="3"/>
  <c r="E22" i="3"/>
  <c r="D25" i="3"/>
  <c r="E25" i="3"/>
  <c r="D26" i="3"/>
  <c r="E26" i="3"/>
  <c r="D27" i="3"/>
  <c r="E27" i="3"/>
  <c r="D28" i="3"/>
  <c r="E28" i="3"/>
  <c r="D29" i="3"/>
  <c r="E29" i="3"/>
  <c r="D34" i="3"/>
  <c r="E34" i="3"/>
  <c r="D35" i="3"/>
  <c r="E35" i="3"/>
  <c r="D36" i="3"/>
  <c r="E36" i="3"/>
  <c r="D37" i="3"/>
  <c r="E37" i="3"/>
  <c r="C37" i="3"/>
  <c r="C36" i="3"/>
  <c r="C35" i="3"/>
  <c r="C34" i="3"/>
  <c r="D31" i="3"/>
  <c r="C31" i="3"/>
  <c r="C28" i="3"/>
  <c r="C29" i="3"/>
  <c r="C27" i="3"/>
  <c r="C26" i="3"/>
  <c r="C25" i="3"/>
  <c r="C22" i="3"/>
  <c r="C20" i="3"/>
  <c r="C18" i="3"/>
  <c r="C21" i="3"/>
  <c r="C19" i="3"/>
  <c r="C41" i="3"/>
  <c r="D17" i="3"/>
  <c r="E17" i="3"/>
  <c r="C17" i="3"/>
  <c r="D6" i="3"/>
  <c r="E6" i="3"/>
  <c r="D7" i="3"/>
  <c r="E7" i="3"/>
  <c r="D8" i="3"/>
  <c r="E8" i="3"/>
  <c r="D9" i="3"/>
  <c r="E9" i="3"/>
  <c r="D10" i="3"/>
  <c r="E10" i="3"/>
  <c r="D11" i="3"/>
  <c r="E11" i="3"/>
  <c r="D14" i="3"/>
  <c r="D13" i="3" s="1"/>
  <c r="E14" i="3"/>
  <c r="E13" i="3" s="1"/>
  <c r="C13" i="3"/>
  <c r="C14" i="3"/>
  <c r="C11" i="3"/>
  <c r="C10" i="3"/>
  <c r="C9" i="3"/>
  <c r="C8" i="3"/>
  <c r="C7" i="3"/>
  <c r="C6" i="3"/>
  <c r="D5" i="3"/>
  <c r="E5" i="3"/>
  <c r="C5" i="3"/>
  <c r="D8" i="1"/>
  <c r="D12" i="1"/>
  <c r="D13" i="1"/>
  <c r="D17" i="1"/>
  <c r="D18" i="1"/>
  <c r="D20" i="1"/>
  <c r="D22" i="1"/>
  <c r="D76" i="1"/>
  <c r="D91" i="1"/>
  <c r="D99" i="1"/>
  <c r="D108" i="1"/>
  <c r="D109" i="1"/>
  <c r="B8" i="1"/>
  <c r="B12" i="1"/>
  <c r="B13" i="1"/>
  <c r="B17" i="1"/>
  <c r="B18" i="1"/>
  <c r="B20" i="1"/>
  <c r="B22" i="1"/>
  <c r="B76" i="1"/>
  <c r="B91" i="1"/>
  <c r="B99" i="1"/>
  <c r="B108" i="1"/>
  <c r="B109" i="1"/>
  <c r="C108" i="1"/>
  <c r="C99" i="1"/>
  <c r="D68" i="1"/>
  <c r="C68" i="1"/>
  <c r="B68" i="1"/>
  <c r="D61" i="1"/>
  <c r="C61" i="1"/>
  <c r="B61" i="1"/>
  <c r="D56" i="1"/>
  <c r="C56" i="1"/>
  <c r="C62" i="1"/>
  <c r="B56" i="1"/>
  <c r="B62" i="1"/>
  <c r="B42" i="1"/>
  <c r="B47" i="1"/>
  <c r="D47" i="1"/>
  <c r="C47" i="1"/>
  <c r="D42" i="1"/>
  <c r="C42" i="1"/>
  <c r="C17" i="1"/>
  <c r="C12" i="1"/>
  <c r="C8" i="1"/>
  <c r="C13" i="1"/>
  <c r="C18" i="1"/>
  <c r="C20" i="1"/>
  <c r="C22" i="1"/>
  <c r="C76" i="1"/>
  <c r="C91" i="1"/>
  <c r="C109" i="1"/>
  <c r="E3" i="3"/>
  <c r="D3" i="3"/>
  <c r="C3" i="3"/>
  <c r="D33" i="1"/>
  <c r="D73" i="1"/>
  <c r="C33" i="1"/>
  <c r="C73" i="1"/>
  <c r="B33" i="1"/>
  <c r="B73" i="1"/>
  <c r="C48" i="1"/>
  <c r="D62" i="1"/>
  <c r="D69" i="1"/>
  <c r="C69" i="1"/>
  <c r="D48" i="1"/>
  <c r="B69" i="1"/>
  <c r="A47" i="3"/>
  <c r="A49" i="3"/>
  <c r="A16" i="3"/>
  <c r="A24" i="3"/>
  <c r="A25" i="3"/>
  <c r="A26" i="3"/>
  <c r="A27" i="3"/>
  <c r="A28" i="3"/>
  <c r="A29" i="3"/>
  <c r="A30" i="3"/>
  <c r="A17" i="3"/>
  <c r="A18" i="3"/>
  <c r="A20" i="3"/>
  <c r="A22" i="3"/>
  <c r="A5" i="3"/>
  <c r="A6" i="3"/>
  <c r="A7" i="3"/>
  <c r="A8" i="3"/>
  <c r="A9" i="3"/>
  <c r="A10" i="3"/>
  <c r="A11" i="3"/>
  <c r="A12" i="3"/>
  <c r="A13" i="3"/>
  <c r="A33" i="3"/>
  <c r="A39" i="3"/>
  <c r="A40" i="3"/>
  <c r="A41" i="3"/>
  <c r="A42" i="3"/>
  <c r="A43" i="3"/>
  <c r="A44" i="3"/>
  <c r="A46" i="3"/>
  <c r="A48" i="3"/>
  <c r="A50" i="3"/>
  <c r="A34" i="3"/>
  <c r="A35" i="3"/>
  <c r="A36" i="3"/>
  <c r="A37" i="3"/>
</calcChain>
</file>

<file path=xl/sharedStrings.xml><?xml version="1.0" encoding="utf-8"?>
<sst xmlns="http://schemas.openxmlformats.org/spreadsheetml/2006/main" count="173" uniqueCount="150">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</sst>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4" fontId="0" fillId="0" borderId="0" xfId="1" applyNumberFormat="1" applyFont="1"/>
    <xf numFmtId="164" fontId="2" fillId="0" borderId="1" xfId="1" applyNumberFormat="1" applyFont="1" applyBorder="1"/>
    <xf numFmtId="164" fontId="2" fillId="0" borderId="2" xfId="1" applyNumberFormat="1" applyFont="1" applyBorder="1"/>
    <xf numFmtId="164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5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2" fillId="0" borderId="0" xfId="0" applyFont="1" applyBorder="1"/>
    <xf numFmtId="164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10" fontId="0" fillId="0" borderId="0" xfId="3" applyNumberFormat="1" applyFont="1"/>
    <xf numFmtId="10" fontId="0" fillId="0" borderId="0" xfId="0" applyNumberFormat="1"/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workbookViewId="0">
      <selection activeCell="A2" sqref="A2"/>
    </sheetView>
  </sheetViews>
  <sheetFormatPr baseColWidth="10" defaultColWidth="8.83203125" defaultRowHeight="15" x14ac:dyDescent="0.2"/>
  <cols>
    <col min="1" max="1" width="104.5" customWidth="1"/>
  </cols>
  <sheetData>
    <row r="1" spans="1:1" ht="24" x14ac:dyDescent="0.3">
      <c r="A1" s="5" t="s">
        <v>87</v>
      </c>
    </row>
    <row r="3" spans="1:1" x14ac:dyDescent="0.2">
      <c r="A3" s="7" t="s">
        <v>141</v>
      </c>
    </row>
    <row r="4" spans="1:1" x14ac:dyDescent="0.2">
      <c r="A4" s="16" t="s">
        <v>88</v>
      </c>
    </row>
    <row r="5" spans="1:1" x14ac:dyDescent="0.2">
      <c r="A5" s="7" t="s">
        <v>97</v>
      </c>
    </row>
    <row r="6" spans="1:1" x14ac:dyDescent="0.2">
      <c r="A6" s="1" t="s">
        <v>148</v>
      </c>
    </row>
    <row r="7" spans="1:1" x14ac:dyDescent="0.2">
      <c r="A7" s="1"/>
    </row>
    <row r="8" spans="1:1" x14ac:dyDescent="0.2">
      <c r="A8" s="17" t="s">
        <v>149</v>
      </c>
    </row>
    <row r="9" spans="1:1" x14ac:dyDescent="0.2">
      <c r="A9" s="1" t="s">
        <v>145</v>
      </c>
    </row>
    <row r="10" spans="1:1" x14ac:dyDescent="0.2">
      <c r="A10" s="1" t="s">
        <v>89</v>
      </c>
    </row>
    <row r="11" spans="1:1" x14ac:dyDescent="0.2">
      <c r="A11" s="1" t="s">
        <v>90</v>
      </c>
    </row>
    <row r="12" spans="1:1" x14ac:dyDescent="0.2">
      <c r="A12" s="1" t="s">
        <v>91</v>
      </c>
    </row>
    <row r="13" spans="1:1" x14ac:dyDescent="0.2">
      <c r="A13" s="1"/>
    </row>
    <row r="14" spans="1:1" x14ac:dyDescent="0.2">
      <c r="A14" s="17" t="s">
        <v>92</v>
      </c>
    </row>
    <row r="15" spans="1:1" x14ac:dyDescent="0.2">
      <c r="A15" s="1" t="s">
        <v>146</v>
      </c>
    </row>
    <row r="16" spans="1:1" x14ac:dyDescent="0.2">
      <c r="A16" s="1" t="s">
        <v>89</v>
      </c>
    </row>
    <row r="17" spans="1:1" x14ac:dyDescent="0.2">
      <c r="A17" s="1" t="s">
        <v>90</v>
      </c>
    </row>
    <row r="18" spans="1:1" x14ac:dyDescent="0.2">
      <c r="A18" s="1" t="s">
        <v>14</v>
      </c>
    </row>
    <row r="19" spans="1:1" x14ac:dyDescent="0.2">
      <c r="A19" s="1" t="s">
        <v>93</v>
      </c>
    </row>
    <row r="20" spans="1:1" x14ac:dyDescent="0.2">
      <c r="A20" s="1"/>
    </row>
    <row r="21" spans="1:1" x14ac:dyDescent="0.2">
      <c r="A21" s="17" t="s">
        <v>98</v>
      </c>
    </row>
    <row r="22" spans="1:1" x14ac:dyDescent="0.2">
      <c r="A22" s="1" t="s">
        <v>94</v>
      </c>
    </row>
    <row r="23" spans="1:1" x14ac:dyDescent="0.2">
      <c r="A23" s="1" t="s">
        <v>95</v>
      </c>
    </row>
    <row r="24" spans="1:1" x14ac:dyDescent="0.2">
      <c r="A24" s="1" t="s">
        <v>96</v>
      </c>
    </row>
    <row r="25" spans="1:1" x14ac:dyDescent="0.2">
      <c r="A25" s="1"/>
    </row>
    <row r="26" spans="1:1" x14ac:dyDescent="0.2">
      <c r="A26" s="17" t="s">
        <v>144</v>
      </c>
    </row>
    <row r="27" spans="1:1" x14ac:dyDescent="0.2">
      <c r="A27" s="16" t="s">
        <v>143</v>
      </c>
    </row>
    <row r="29" spans="1:1" x14ac:dyDescent="0.2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97" zoomScale="130" zoomScaleNormal="130" workbookViewId="0">
      <selection activeCell="A65" sqref="A65"/>
    </sheetView>
  </sheetViews>
  <sheetFormatPr baseColWidth="10" defaultColWidth="8.83203125" defaultRowHeight="15" x14ac:dyDescent="0.2"/>
  <cols>
    <col min="1" max="1" width="59" customWidth="1"/>
    <col min="2" max="3" width="11.5" bestFit="1" customWidth="1"/>
    <col min="4" max="4" width="11.6640625" bestFit="1" customWidth="1"/>
  </cols>
  <sheetData>
    <row r="1" spans="1:10" ht="60" customHeight="1" x14ac:dyDescent="0.2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2">
      <c r="A2" s="25" t="s">
        <v>1</v>
      </c>
      <c r="B2" s="25"/>
      <c r="C2" s="25"/>
      <c r="D2" s="25"/>
    </row>
    <row r="3" spans="1:10" x14ac:dyDescent="0.2">
      <c r="B3" s="24" t="s">
        <v>23</v>
      </c>
      <c r="C3" s="24"/>
      <c r="D3" s="24"/>
    </row>
    <row r="4" spans="1:10" x14ac:dyDescent="0.2">
      <c r="B4" s="7">
        <v>2022</v>
      </c>
      <c r="C4" s="7">
        <v>2021</v>
      </c>
      <c r="D4" s="7">
        <v>2020</v>
      </c>
    </row>
    <row r="5" spans="1:10" x14ac:dyDescent="0.2">
      <c r="A5" t="s">
        <v>3</v>
      </c>
    </row>
    <row r="6" spans="1:10" x14ac:dyDescent="0.2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2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2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2">
      <c r="A9" t="s">
        <v>7</v>
      </c>
      <c r="B9" s="12"/>
      <c r="C9" s="12"/>
      <c r="D9" s="12"/>
    </row>
    <row r="10" spans="1:10" x14ac:dyDescent="0.2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2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2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2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2">
      <c r="A14" t="s">
        <v>10</v>
      </c>
      <c r="B14" s="12"/>
      <c r="C14" s="12"/>
      <c r="D14" s="12"/>
    </row>
    <row r="15" spans="1:10" x14ac:dyDescent="0.2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2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2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21" customFormat="1" x14ac:dyDescent="0.2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2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2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2">
      <c r="A21" t="s">
        <v>17</v>
      </c>
      <c r="B21" s="12">
        <v>19300</v>
      </c>
      <c r="C21" s="12">
        <v>14527</v>
      </c>
      <c r="D21" s="12">
        <v>9680</v>
      </c>
    </row>
    <row r="22" spans="1:4" ht="16" thickBot="1" x14ac:dyDescent="0.2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6" thickTop="1" x14ac:dyDescent="0.2">
      <c r="A23" t="s">
        <v>19</v>
      </c>
    </row>
    <row r="24" spans="1:4" x14ac:dyDescent="0.2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2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2">
      <c r="A26" t="s">
        <v>22</v>
      </c>
    </row>
    <row r="27" spans="1:4" x14ac:dyDescent="0.2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2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2">
      <c r="A31" s="25" t="s">
        <v>24</v>
      </c>
      <c r="B31" s="25"/>
      <c r="C31" s="25"/>
      <c r="D31" s="25"/>
    </row>
    <row r="32" spans="1:4" x14ac:dyDescent="0.2">
      <c r="B32" s="24" t="s">
        <v>142</v>
      </c>
      <c r="C32" s="24"/>
      <c r="D32" s="24"/>
    </row>
    <row r="33" spans="1:4" x14ac:dyDescent="0.2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2">
      <c r="A35" t="s">
        <v>25</v>
      </c>
    </row>
    <row r="36" spans="1:4" x14ac:dyDescent="0.2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2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2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2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2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2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2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2">
      <c r="A43" t="s">
        <v>48</v>
      </c>
      <c r="B43" s="12"/>
      <c r="C43" s="12"/>
      <c r="D43" s="12"/>
    </row>
    <row r="44" spans="1:4" x14ac:dyDescent="0.2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2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2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2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6" thickBot="1" x14ac:dyDescent="0.25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6" thickTop="1" x14ac:dyDescent="0.2"/>
    <row r="50" spans="1:4" x14ac:dyDescent="0.2">
      <c r="A50" t="s">
        <v>34</v>
      </c>
    </row>
    <row r="51" spans="1:4" x14ac:dyDescent="0.2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2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2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2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2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2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2">
      <c r="A57" t="s">
        <v>51</v>
      </c>
      <c r="B57" s="12"/>
      <c r="C57" s="12"/>
      <c r="D57" s="12"/>
    </row>
    <row r="58" spans="1:4" x14ac:dyDescent="0.2">
      <c r="A58" s="1" t="s">
        <v>37</v>
      </c>
      <c r="B58" s="12"/>
      <c r="C58" s="12"/>
      <c r="D58" s="12"/>
    </row>
    <row r="59" spans="1:4" x14ac:dyDescent="0.2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2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2">
      <c r="A61" s="23" t="s">
        <v>53</v>
      </c>
      <c r="B61" s="22">
        <f>+B59+B60</f>
        <v>148101</v>
      </c>
      <c r="C61" s="22">
        <f t="shared" ref="C61:D61" si="13">+C59+C60</f>
        <v>162431</v>
      </c>
      <c r="D61" s="22">
        <f t="shared" si="13"/>
        <v>153157</v>
      </c>
    </row>
    <row r="62" spans="1:4" x14ac:dyDescent="0.2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2">
      <c r="B63" s="12"/>
      <c r="C63" s="12"/>
      <c r="D63" s="12"/>
    </row>
    <row r="64" spans="1:4" x14ac:dyDescent="0.2">
      <c r="A64" t="s">
        <v>42</v>
      </c>
      <c r="B64" s="12"/>
      <c r="C64" s="12"/>
      <c r="D64" s="12"/>
    </row>
    <row r="65" spans="1:4" x14ac:dyDescent="0.2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2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2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2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6" thickBot="1" x14ac:dyDescent="0.25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6" thickTop="1" x14ac:dyDescent="0.2"/>
    <row r="71" spans="1:4" x14ac:dyDescent="0.2">
      <c r="A71" s="25" t="s">
        <v>55</v>
      </c>
      <c r="B71" s="25"/>
      <c r="C71" s="25"/>
      <c r="D71" s="25"/>
    </row>
    <row r="72" spans="1:4" x14ac:dyDescent="0.2">
      <c r="B72" s="24" t="s">
        <v>23</v>
      </c>
      <c r="C72" s="24"/>
      <c r="D72" s="24"/>
    </row>
    <row r="73" spans="1:4" x14ac:dyDescent="0.2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2">
      <c r="A75" s="7" t="s">
        <v>56</v>
      </c>
      <c r="B75" s="15"/>
      <c r="C75" s="15"/>
      <c r="D75" s="15"/>
    </row>
    <row r="76" spans="1:4" x14ac:dyDescent="0.2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2">
      <c r="A77" s="11" t="s">
        <v>18</v>
      </c>
      <c r="B77" s="15"/>
      <c r="C77" s="15"/>
      <c r="D77" s="15"/>
    </row>
    <row r="78" spans="1:4" x14ac:dyDescent="0.2">
      <c r="A78" s="1" t="s">
        <v>58</v>
      </c>
      <c r="B78" s="12"/>
      <c r="C78" s="12"/>
      <c r="D78" s="12"/>
    </row>
    <row r="79" spans="1:4" x14ac:dyDescent="0.2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2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2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2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2">
      <c r="A83" t="s">
        <v>62</v>
      </c>
      <c r="B83" s="12"/>
      <c r="C83" s="12"/>
      <c r="D83" s="12"/>
    </row>
    <row r="84" spans="1:4" x14ac:dyDescent="0.2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2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2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2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2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2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2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2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2">
      <c r="A92" s="7" t="s">
        <v>64</v>
      </c>
      <c r="B92" s="12"/>
      <c r="C92" s="12"/>
      <c r="D92" s="12"/>
    </row>
    <row r="93" spans="1:4" x14ac:dyDescent="0.2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2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2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2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2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2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2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2">
      <c r="A100" s="7" t="s">
        <v>71</v>
      </c>
      <c r="B100" s="12"/>
      <c r="C100" s="12"/>
      <c r="D100" s="12"/>
    </row>
    <row r="101" spans="1:4" x14ac:dyDescent="0.2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2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2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2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2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2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2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2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2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6" thickBot="1" x14ac:dyDescent="0.2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6" thickTop="1" x14ac:dyDescent="0.2">
      <c r="B111" s="12"/>
      <c r="C111" s="12"/>
      <c r="D111" s="12"/>
    </row>
    <row r="112" spans="1:4" x14ac:dyDescent="0.2">
      <c r="A112" t="s">
        <v>80</v>
      </c>
      <c r="B112" s="12"/>
      <c r="C112" s="12"/>
      <c r="D112" s="12"/>
    </row>
    <row r="113" spans="1:4" x14ac:dyDescent="0.2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2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1"/>
  <sheetViews>
    <sheetView tabSelected="1" workbookViewId="0">
      <selection activeCell="C42" sqref="C42"/>
    </sheetView>
  </sheetViews>
  <sheetFormatPr baseColWidth="10" defaultColWidth="8.83203125" defaultRowHeight="15" x14ac:dyDescent="0.2"/>
  <cols>
    <col min="1" max="1" width="4.6640625" customWidth="1"/>
    <col min="2" max="2" width="45" customWidth="1"/>
    <col min="3" max="3" width="9.1640625" bestFit="1" customWidth="1"/>
    <col min="4" max="4" width="11.1640625" bestFit="1" customWidth="1"/>
    <col min="5" max="5" width="12.1640625" bestFit="1" customWidth="1"/>
  </cols>
  <sheetData>
    <row r="1" spans="1:10" ht="60" customHeight="1" x14ac:dyDescent="0.3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2">
      <c r="C2" s="24" t="s">
        <v>23</v>
      </c>
      <c r="D2" s="24"/>
      <c r="E2" s="24"/>
    </row>
    <row r="3" spans="1:10" x14ac:dyDescent="0.2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2">
      <c r="A4" s="18">
        <v>1</v>
      </c>
      <c r="B4" s="7" t="s">
        <v>99</v>
      </c>
    </row>
    <row r="5" spans="1:10" x14ac:dyDescent="0.2">
      <c r="A5" s="18">
        <f>+A4+0.1</f>
        <v>1.1000000000000001</v>
      </c>
      <c r="B5" s="1" t="s">
        <v>100</v>
      </c>
      <c r="C5">
        <f>'Financial Statements'!B42/'Financial Statements'!B56</f>
        <v>0.87935602862672257</v>
      </c>
      <c r="D5">
        <f>'Financial Statements'!C42/'Financial Statements'!C56</f>
        <v>1.0745531195957954</v>
      </c>
      <c r="E5">
        <f>'Financial Statements'!D42/'Financial Statements'!D56</f>
        <v>1.3636044481554577</v>
      </c>
    </row>
    <row r="6" spans="1:10" x14ac:dyDescent="0.2">
      <c r="A6" s="18">
        <f t="shared" ref="A6:A13" si="0">+A5+0.1</f>
        <v>1.2000000000000002</v>
      </c>
      <c r="B6" s="1" t="s">
        <v>101</v>
      </c>
      <c r="C6">
        <f>('Financial Statements'!B36+'Financial Statements'!B37+'Financial Statements'!B38)/'Financial Statements'!B56</f>
        <v>0.49673338442155579</v>
      </c>
      <c r="D6">
        <f>('Financial Statements'!C36+'Financial Statements'!C37+'Financial Statements'!C38)/'Financial Statements'!C56</f>
        <v>0.70860927152317876</v>
      </c>
      <c r="E6">
        <f>('Financial Statements'!D36+'Financial Statements'!D37+'Financial Statements'!D38)/'Financial Statements'!D56</f>
        <v>1.0158550933657204</v>
      </c>
    </row>
    <row r="7" spans="1:10" x14ac:dyDescent="0.2">
      <c r="A7" s="18">
        <f t="shared" si="0"/>
        <v>1.3000000000000003</v>
      </c>
      <c r="B7" s="1" t="s">
        <v>102</v>
      </c>
      <c r="C7">
        <f>'Financial Statements'!B36/'Financial Statements'!B56</f>
        <v>0.15356340351469652</v>
      </c>
      <c r="D7">
        <f>'Financial Statements'!C36/'Financial Statements'!C56</f>
        <v>0.27844853005634318</v>
      </c>
      <c r="E7">
        <f>'Financial Statements'!D36/'Financial Statements'!D56</f>
        <v>0.36071049035979963</v>
      </c>
    </row>
    <row r="8" spans="1:10" x14ac:dyDescent="0.2">
      <c r="A8" s="18">
        <f t="shared" si="0"/>
        <v>1.4000000000000004</v>
      </c>
      <c r="B8" s="1" t="s">
        <v>103</v>
      </c>
      <c r="C8">
        <f>SUM('Financial Statements'!B36:B38)/(('Financial Statements'!B17-'Financial Statements'!B79)/365)</f>
        <v>693.77301756914596</v>
      </c>
      <c r="D8">
        <f>SUM('Financial Statements'!C36:C38)/(('Financial Statements'!C17-'Financial Statements'!C79)/365)</f>
        <v>995.4514921939699</v>
      </c>
      <c r="E8">
        <f>SUM('Financial Statements'!D36:D38)/(('Financial Statements'!D17-'Financial Statements'!D79)/365)</f>
        <v>1415.254056207446</v>
      </c>
    </row>
    <row r="9" spans="1:10" x14ac:dyDescent="0.2">
      <c r="A9" s="18">
        <f t="shared" si="0"/>
        <v>1.5000000000000004</v>
      </c>
      <c r="B9" s="1" t="s">
        <v>104</v>
      </c>
      <c r="C9">
        <f>(('Financial Statements'!B39+'Financial Statements'!B85)/2)/'Financial Statements'!B12*365</f>
        <v>5.2493670206579406</v>
      </c>
      <c r="D9">
        <f>(('Financial Statements'!C39+'Financial Statements'!C85)/2)/'Financial Statements'!C12*365</f>
        <v>3.3744089848390235</v>
      </c>
      <c r="E9">
        <f>(('Financial Statements'!D39+'Financial Statements'!D85)/2)/'Financial Statements'!D12*365</f>
        <v>4.2342488455345926</v>
      </c>
    </row>
    <row r="10" spans="1:10" x14ac:dyDescent="0.2">
      <c r="A10" s="18">
        <f t="shared" si="0"/>
        <v>1.6000000000000005</v>
      </c>
      <c r="B10" s="1" t="s">
        <v>105</v>
      </c>
      <c r="C10">
        <f>'Financial Statements'!B51/('Financial Statements'!B12/365)</f>
        <v>104.68527730310541</v>
      </c>
      <c r="D10">
        <f>'Financial Statements'!C51/('Financial Statements'!C12/365)</f>
        <v>93.85107122231561</v>
      </c>
      <c r="E10">
        <f>'Financial Statements'!D51/('Financial Statements'!D12/365)</f>
        <v>91.048189715674184</v>
      </c>
    </row>
    <row r="11" spans="1:10" x14ac:dyDescent="0.2">
      <c r="A11" s="18">
        <f t="shared" si="0"/>
        <v>1.7000000000000006</v>
      </c>
      <c r="B11" s="1" t="s">
        <v>106</v>
      </c>
      <c r="C11">
        <f>('Financial Statements'!B38/'Financial Statements'!B8)*365</f>
        <v>26.087825363656648</v>
      </c>
      <c r="D11">
        <f>('Financial Statements'!C38/'Financial Statements'!C8)*365</f>
        <v>26.219311841713207</v>
      </c>
      <c r="E11">
        <f>('Financial Statements'!D38/'Financial Statements'!D8)*365</f>
        <v>21.433437152796749</v>
      </c>
    </row>
    <row r="12" spans="1:10" x14ac:dyDescent="0.2">
      <c r="A12" s="18">
        <f t="shared" si="0"/>
        <v>1.8000000000000007</v>
      </c>
      <c r="B12" s="1" t="s">
        <v>107</v>
      </c>
    </row>
    <row r="13" spans="1:10" x14ac:dyDescent="0.2">
      <c r="A13" s="18">
        <f t="shared" si="0"/>
        <v>1.9000000000000008</v>
      </c>
      <c r="B13" s="1" t="s">
        <v>108</v>
      </c>
      <c r="C13">
        <f>C14/'Financial Statements'!B8</f>
        <v>-4.711052727678481E-2</v>
      </c>
      <c r="D13">
        <f>D14/'Financial Statements'!C8</f>
        <v>2.557289573748623E-2</v>
      </c>
      <c r="E13">
        <f>E14/'Financial Statements'!D8</f>
        <v>0.13959528623208203</v>
      </c>
    </row>
    <row r="14" spans="1:10" x14ac:dyDescent="0.2">
      <c r="A14" s="18"/>
      <c r="B14" s="3" t="s">
        <v>109</v>
      </c>
      <c r="C14">
        <f>'Financial Statements'!B42-'Financial Statements'!B56</f>
        <v>-18577</v>
      </c>
      <c r="D14">
        <f>'Financial Statements'!C42-'Financial Statements'!C56</f>
        <v>9355</v>
      </c>
      <c r="E14">
        <f>'Financial Statements'!D42-'Financial Statements'!D56</f>
        <v>38321</v>
      </c>
    </row>
    <row r="15" spans="1:10" x14ac:dyDescent="0.2">
      <c r="A15" s="18"/>
    </row>
    <row r="16" spans="1:10" x14ac:dyDescent="0.2">
      <c r="A16" s="18">
        <f>+A4+1</f>
        <v>2</v>
      </c>
      <c r="B16" s="17" t="s">
        <v>110</v>
      </c>
    </row>
    <row r="17" spans="1:5" x14ac:dyDescent="0.2">
      <c r="A17" s="18">
        <f>+A16+0.1</f>
        <v>2.1</v>
      </c>
      <c r="B17" s="1" t="s">
        <v>9</v>
      </c>
      <c r="C17">
        <f>('Financial Statements'!B8-'Financial Statements'!B12)/'Financial Statements'!B8</f>
        <v>0.43309630561360085</v>
      </c>
      <c r="D17">
        <f>('Financial Statements'!C8-'Financial Statements'!C12)/'Financial Statements'!C8</f>
        <v>0.41779359625167778</v>
      </c>
      <c r="E17">
        <f>('Financial Statements'!D8-'Financial Statements'!D12)/'Financial Statements'!D8</f>
        <v>0.38233247727810865</v>
      </c>
    </row>
    <row r="18" spans="1:5" x14ac:dyDescent="0.2">
      <c r="A18" s="18">
        <f>+A17+0.1</f>
        <v>2.2000000000000002</v>
      </c>
      <c r="B18" s="1" t="s">
        <v>111</v>
      </c>
      <c r="C18">
        <f>C19/'Financial Statements'!B8</f>
        <v>0.3310467428130896</v>
      </c>
      <c r="D18">
        <f>D19/'Financial Statements'!C8</f>
        <v>0.32866979938056462</v>
      </c>
      <c r="E18">
        <f>E19/'Financial Statements'!D8</f>
        <v>0.2817478097736007</v>
      </c>
    </row>
    <row r="19" spans="1:5" x14ac:dyDescent="0.2">
      <c r="A19" s="18"/>
      <c r="B19" s="3" t="s">
        <v>112</v>
      </c>
      <c r="C19">
        <f>'Financial Statements'!B18+'Financial Statements'!B79</f>
        <v>130541</v>
      </c>
      <c r="D19">
        <f>'Financial Statements'!C18+'Financial Statements'!C79</f>
        <v>120233</v>
      </c>
      <c r="E19">
        <f>'Financial Statements'!D18+'Financial Statements'!D79</f>
        <v>77344</v>
      </c>
    </row>
    <row r="20" spans="1:5" x14ac:dyDescent="0.2">
      <c r="A20" s="18">
        <f>+A18+0.1</f>
        <v>2.3000000000000003</v>
      </c>
      <c r="B20" s="1" t="s">
        <v>113</v>
      </c>
      <c r="C20">
        <f>C21/'Financial Statements'!B8</f>
        <v>0.30288744395528594</v>
      </c>
      <c r="D20">
        <f>D21/'Financial Statements'!C8</f>
        <v>0.29782377527561593</v>
      </c>
      <c r="E20">
        <f>E21/'Financial Statements'!D8</f>
        <v>0.24147314354406862</v>
      </c>
    </row>
    <row r="21" spans="1:5" x14ac:dyDescent="0.2">
      <c r="A21" s="18"/>
      <c r="B21" s="3" t="s">
        <v>114</v>
      </c>
      <c r="C21">
        <f>'Financial Statements'!B18</f>
        <v>119437</v>
      </c>
      <c r="D21">
        <f>'Financial Statements'!C18</f>
        <v>108949</v>
      </c>
      <c r="E21">
        <f>'Financial Statements'!D18</f>
        <v>66288</v>
      </c>
    </row>
    <row r="22" spans="1:5" x14ac:dyDescent="0.2">
      <c r="A22" s="18">
        <f>+A20+0.1</f>
        <v>2.4000000000000004</v>
      </c>
      <c r="B22" s="1" t="s">
        <v>115</v>
      </c>
      <c r="C22" s="26">
        <f>'Financial Statements'!B22/'Financial Statements'!B8</f>
        <v>0.25309640705199732</v>
      </c>
      <c r="D22" s="26">
        <f>'Financial Statements'!C22/'Financial Statements'!C8</f>
        <v>0.25881793355694238</v>
      </c>
      <c r="E22" s="26">
        <f>'Financial Statements'!D22/'Financial Statements'!D8</f>
        <v>0.20913611278072236</v>
      </c>
    </row>
    <row r="23" spans="1:5" x14ac:dyDescent="0.2">
      <c r="A23" s="18"/>
    </row>
    <row r="24" spans="1:5" x14ac:dyDescent="0.2">
      <c r="A24" s="18">
        <f>+A16+1</f>
        <v>3</v>
      </c>
      <c r="B24" s="7" t="s">
        <v>116</v>
      </c>
    </row>
    <row r="25" spans="1:5" x14ac:dyDescent="0.2">
      <c r="A25" s="18">
        <f>+A24+0.1</f>
        <v>3.1</v>
      </c>
      <c r="B25" s="1" t="s">
        <v>117</v>
      </c>
      <c r="C25">
        <f>('Financial Statements'!B55+'Financial Statements'!B59)/'Financial Statements'!B68</f>
        <v>2.1725410483107042</v>
      </c>
      <c r="D25">
        <f>('Financial Statements'!C55+'Financial Statements'!C59)/'Financial Statements'!C68</f>
        <v>1.8817403708987162</v>
      </c>
      <c r="E25">
        <f>('Financial Statements'!D55+'Financial Statements'!D59)/'Financial Statements'!D68</f>
        <v>1.6443471739696047</v>
      </c>
    </row>
    <row r="26" spans="1:5" x14ac:dyDescent="0.2">
      <c r="A26" s="18">
        <f t="shared" ref="A26:A30" si="1">+A25+0.1</f>
        <v>3.2</v>
      </c>
      <c r="B26" s="1" t="s">
        <v>118</v>
      </c>
      <c r="C26">
        <f>('Financial Statements'!B55+'Financial Statements'!B59)/'Financial Statements'!B48</f>
        <v>0.31207778769967826</v>
      </c>
      <c r="D26">
        <f>('Financial Statements'!C55+'Financial Statements'!C59)/'Financial Statements'!C48</f>
        <v>0.33822884200090025</v>
      </c>
      <c r="E26">
        <f>('Financial Statements'!D55+'Financial Statements'!D59)/'Financial Statements'!D48</f>
        <v>0.33171960677765155</v>
      </c>
    </row>
    <row r="27" spans="1:5" x14ac:dyDescent="0.2">
      <c r="A27" s="18">
        <f t="shared" si="1"/>
        <v>3.3000000000000003</v>
      </c>
      <c r="B27" s="1" t="s">
        <v>119</v>
      </c>
      <c r="C27">
        <f>'Financial Statements'!B59/('Financial Statements'!B59+'Financial Statements'!B65)</f>
        <v>0.60411579410041027</v>
      </c>
      <c r="D27">
        <f>'Financial Statements'!C59/('Financial Statements'!C59+'Financial Statements'!C65)</f>
        <v>0.65540544599359651</v>
      </c>
      <c r="E27">
        <f>'Financial Statements'!D59/('Financial Statements'!D59+'Financial Statements'!D65)</f>
        <v>0.66021840664855536</v>
      </c>
    </row>
    <row r="28" spans="1:5" x14ac:dyDescent="0.2">
      <c r="A28" s="18">
        <f t="shared" si="1"/>
        <v>3.4000000000000004</v>
      </c>
      <c r="B28" s="1" t="s">
        <v>120</v>
      </c>
      <c r="C28">
        <f>'Financial Statements'!B20/'Financial Statements'!B114</f>
        <v>41.571727748691103</v>
      </c>
      <c r="D28">
        <f>'Financial Statements'!C20/'Financial Statements'!C114</f>
        <v>40.642724227763303</v>
      </c>
      <c r="E28">
        <f>'Financial Statements'!D20/'Financial Statements'!D114</f>
        <v>22.348767488341107</v>
      </c>
    </row>
    <row r="29" spans="1:5" x14ac:dyDescent="0.2">
      <c r="A29" s="18">
        <f t="shared" si="1"/>
        <v>3.5000000000000004</v>
      </c>
      <c r="B29" s="1" t="s">
        <v>121</v>
      </c>
      <c r="C29">
        <f>('Financial Statements'!B18+'Financial Statements'!B79-'Financial Statements'!B113)/('Financial Statements'!B114+'Financial Statements'!B55)</f>
        <v>7.9302508397055673</v>
      </c>
      <c r="D29">
        <f>('Financial Statements'!C18+'Financial Statements'!C79-'Financial Statements'!C113)/('Financial Statements'!C114+'Financial Statements'!C55)</f>
        <v>7.7112195121951217</v>
      </c>
      <c r="E29">
        <f>('Financial Statements'!D18+'Financial Statements'!D79-'Financial Statements'!D113)/('Financial Statements'!D114+'Financial Statements'!D55)</f>
        <v>5.7616135881104036</v>
      </c>
    </row>
    <row r="30" spans="1:5" x14ac:dyDescent="0.2">
      <c r="A30" s="18">
        <f t="shared" si="1"/>
        <v>3.6000000000000005</v>
      </c>
      <c r="B30" s="1" t="s">
        <v>122</v>
      </c>
    </row>
    <row r="31" spans="1:5" x14ac:dyDescent="0.2">
      <c r="A31" s="18"/>
      <c r="B31" s="3" t="s">
        <v>123</v>
      </c>
      <c r="C31">
        <f>('Financial Statements'!B91+'Financial Statements'!B79+'Financial Statements'!B99+'Financial Statements'!B80)-('Financial Statements'!B45-'Financial Statements'!C45+'Financial Statements'!B79)</f>
        <v>106158</v>
      </c>
      <c r="D31">
        <f>('Financial Statements'!C91+'Financial Statements'!C79+'Financial Statements'!C99+'Financial Statements'!C80)-('Financial Statements'!C45-'Financial Statements'!D45+'Financial Statements'!C79)</f>
        <v>94725</v>
      </c>
    </row>
    <row r="32" spans="1:5" x14ac:dyDescent="0.2">
      <c r="A32" s="18"/>
    </row>
    <row r="33" spans="1:5" x14ac:dyDescent="0.2">
      <c r="A33" s="18">
        <f>+A24+1</f>
        <v>4</v>
      </c>
      <c r="B33" s="17" t="s">
        <v>124</v>
      </c>
    </row>
    <row r="34" spans="1:5" x14ac:dyDescent="0.2">
      <c r="A34" s="18">
        <f>+A33+0.1</f>
        <v>4.0999999999999996</v>
      </c>
      <c r="B34" s="1" t="s">
        <v>125</v>
      </c>
      <c r="C34">
        <f>'Financial Statements'!B8/'Financial Statements'!B48</f>
        <v>1.1178523337727317</v>
      </c>
      <c r="D34">
        <f>'Financial Statements'!C8/'Financial Statements'!C48</f>
        <v>1.0422077367080529</v>
      </c>
      <c r="E34">
        <f>'Financial Statements'!D8/'Financial Statements'!D48</f>
        <v>0.84756150274168851</v>
      </c>
    </row>
    <row r="35" spans="1:5" x14ac:dyDescent="0.2">
      <c r="A35" s="18">
        <f t="shared" ref="A35:A37" si="2">+A34+0.1</f>
        <v>4.1999999999999993</v>
      </c>
      <c r="B35" s="1" t="s">
        <v>126</v>
      </c>
      <c r="C35">
        <f>'Financial Statements'!B8/('Financial Statements'!B45-'Financial Statements'!B79)</f>
        <v>12.714925998774707</v>
      </c>
      <c r="D35">
        <f>'Financial Statements'!C8/('Financial Statements'!C45-'Financial Statements'!C79)</f>
        <v>12.992506037789459</v>
      </c>
      <c r="E35">
        <f>'Financial Statements'!D8/('Financial Statements'!D45-'Financial Statements'!D79)</f>
        <v>10.677362893815635</v>
      </c>
    </row>
    <row r="36" spans="1:5" x14ac:dyDescent="0.2">
      <c r="A36" s="18">
        <f t="shared" si="2"/>
        <v>4.2999999999999989</v>
      </c>
      <c r="B36" s="1" t="s">
        <v>127</v>
      </c>
      <c r="C36">
        <f>'Financial Statements'!B12/'Financial Statements'!B39</f>
        <v>45.197331176708452</v>
      </c>
      <c r="D36">
        <f>'Financial Statements'!C12/'Financial Statements'!C39</f>
        <v>32.367933130699086</v>
      </c>
      <c r="E36">
        <f>'Financial Statements'!D12/'Financial Statements'!D39</f>
        <v>41.753016498399411</v>
      </c>
    </row>
    <row r="37" spans="1:5" x14ac:dyDescent="0.2">
      <c r="A37" s="18">
        <f t="shared" si="2"/>
        <v>4.3999999999999986</v>
      </c>
      <c r="B37" s="1" t="s">
        <v>128</v>
      </c>
      <c r="C37" s="26">
        <f>'Financial Statements'!B22/'Financial Statements'!B48</f>
        <v>0.28292440929256851</v>
      </c>
      <c r="D37" s="26">
        <f>'Financial Statements'!C22/'Financial Statements'!C48</f>
        <v>0.26974205275183616</v>
      </c>
      <c r="E37" s="26">
        <f>'Financial Statements'!D22/'Financial Statements'!D48</f>
        <v>0.1772557180259843</v>
      </c>
    </row>
    <row r="38" spans="1:5" x14ac:dyDescent="0.2">
      <c r="A38" s="18"/>
    </row>
    <row r="39" spans="1:5" x14ac:dyDescent="0.2">
      <c r="A39" s="18">
        <f>+A33+1</f>
        <v>5</v>
      </c>
      <c r="B39" s="17" t="s">
        <v>129</v>
      </c>
    </row>
    <row r="40" spans="1:5" x14ac:dyDescent="0.2">
      <c r="A40" s="18">
        <f>+A39+0.1</f>
        <v>5.0999999999999996</v>
      </c>
      <c r="B40" s="1" t="s">
        <v>130</v>
      </c>
      <c r="C40">
        <f>129.21/C41</f>
        <v>21.009756097560977</v>
      </c>
      <c r="D40">
        <f>175.57/D41</f>
        <v>30.964726631393297</v>
      </c>
      <c r="E40">
        <f>130.39/E41</f>
        <v>39.392749244712988</v>
      </c>
    </row>
    <row r="41" spans="1:5" x14ac:dyDescent="0.2">
      <c r="A41" s="18">
        <f t="shared" ref="A41:A44" si="3">+A40+0.1</f>
        <v>5.1999999999999993</v>
      </c>
      <c r="B41" s="3" t="s">
        <v>131</v>
      </c>
      <c r="C41">
        <f>'Financial Statements'!B24</f>
        <v>6.15</v>
      </c>
      <c r="D41">
        <f>'Financial Statements'!C24</f>
        <v>5.67</v>
      </c>
      <c r="E41">
        <f>'Financial Statements'!D24</f>
        <v>3.31</v>
      </c>
    </row>
    <row r="42" spans="1:5" x14ac:dyDescent="0.2">
      <c r="A42" s="18">
        <f t="shared" si="3"/>
        <v>5.2999999999999989</v>
      </c>
      <c r="B42" s="1" t="s">
        <v>132</v>
      </c>
      <c r="C42">
        <f>(2.066*10^6)/('Financial Statements'!B48-'Financial Statements'!B62)</f>
        <v>40.772023997473944</v>
      </c>
      <c r="D42">
        <f>(2.901*10^6)/('Financial Statements'!C48-'Financial Statements'!C62)</f>
        <v>45.981930575368523</v>
      </c>
      <c r="E42">
        <f>(2.255*10^6)/('Financial Statements'!C48-'Financial Statements'!C62)</f>
        <v>35.742589950863845</v>
      </c>
    </row>
    <row r="43" spans="1:5" x14ac:dyDescent="0.2">
      <c r="A43" s="18">
        <f t="shared" si="3"/>
        <v>5.3999999999999986</v>
      </c>
      <c r="B43" s="3" t="s">
        <v>133</v>
      </c>
    </row>
    <row r="44" spans="1:5" x14ac:dyDescent="0.2">
      <c r="A44" s="18">
        <f t="shared" si="3"/>
        <v>5.4999999999999982</v>
      </c>
      <c r="B44" s="1" t="s">
        <v>134</v>
      </c>
      <c r="C44" s="26">
        <f>-'Financial Statements'!B102/'Financial Statements'!B22</f>
        <v>0.14870294480125848</v>
      </c>
      <c r="D44" s="26">
        <f>-'Financial Statements'!C102/'Financial Statements'!C22</f>
        <v>0.15279890156316012</v>
      </c>
      <c r="E44" s="26">
        <f>-'Financial Statements'!D102/'Financial Statements'!D22</f>
        <v>0.24526658654264863</v>
      </c>
    </row>
    <row r="45" spans="1:5" x14ac:dyDescent="0.2">
      <c r="A45" s="18"/>
      <c r="B45" s="3" t="s">
        <v>135</v>
      </c>
      <c r="C45">
        <f>C41*C44</f>
        <v>0.91452311052773971</v>
      </c>
      <c r="D45">
        <f t="shared" ref="D45:E45" si="4">D41*D44</f>
        <v>0.86636977186311781</v>
      </c>
      <c r="E45">
        <f t="shared" si="4"/>
        <v>0.81183240145616697</v>
      </c>
    </row>
    <row r="46" spans="1:5" x14ac:dyDescent="0.2">
      <c r="A46" s="18">
        <f>+A44+0.1</f>
        <v>5.5999999999999979</v>
      </c>
      <c r="B46" s="1" t="s">
        <v>136</v>
      </c>
      <c r="C46">
        <f>C45/129.21</f>
        <v>7.0778044309862988E-3</v>
      </c>
      <c r="D46">
        <f>D45/175.57</f>
        <v>4.9346116754748412E-3</v>
      </c>
      <c r="E46">
        <f>E45/130.39</f>
        <v>6.2261860683807584E-3</v>
      </c>
    </row>
    <row r="47" spans="1:5" x14ac:dyDescent="0.2">
      <c r="A47" s="18">
        <f t="shared" ref="A47:A50" si="5">+A45+0.1</f>
        <v>0.1</v>
      </c>
      <c r="B47" s="1" t="s">
        <v>137</v>
      </c>
      <c r="C47">
        <f>'Financial Statements'!B22/'Financial Statements'!B68</f>
        <v>1.9695887275023682</v>
      </c>
      <c r="D47">
        <f>'Financial Statements'!C22/'Financial Statements'!C68</f>
        <v>1.5007132667617689</v>
      </c>
      <c r="E47">
        <f>'Financial Statements'!D22/'Financial Statements'!D68</f>
        <v>0.87866358530127486</v>
      </c>
    </row>
    <row r="48" spans="1:5" x14ac:dyDescent="0.2">
      <c r="A48" s="18">
        <f t="shared" si="5"/>
        <v>5.6999999999999975</v>
      </c>
      <c r="B48" s="1" t="s">
        <v>138</v>
      </c>
      <c r="C48">
        <f>'Financial Statements'!B22/('Financial Statements'!B48-'Financial Statements'!B56)</f>
        <v>0.502095355002943</v>
      </c>
      <c r="D48">
        <f>'Financial Statements'!C22/('Financial Statements'!C48-'Financial Statements'!C56)</f>
        <v>0.41982786525423355</v>
      </c>
      <c r="E48">
        <f>'Financial Statements'!D22/('Financial Statements'!D48-'Financial Statements'!D56)</f>
        <v>0.26275538224956063</v>
      </c>
    </row>
    <row r="49" spans="1:5" x14ac:dyDescent="0.2">
      <c r="A49" s="18">
        <f t="shared" si="5"/>
        <v>0.2</v>
      </c>
      <c r="B49" s="1" t="s">
        <v>128</v>
      </c>
      <c r="C49" s="27">
        <f>C37</f>
        <v>0.28292440929256851</v>
      </c>
      <c r="D49" s="27">
        <f t="shared" ref="D49:E49" si="6">D37</f>
        <v>0.26974205275183616</v>
      </c>
      <c r="E49" s="27">
        <f t="shared" si="6"/>
        <v>0.1772557180259843</v>
      </c>
    </row>
    <row r="50" spans="1:5" x14ac:dyDescent="0.2">
      <c r="A50" s="18">
        <f t="shared" si="5"/>
        <v>5.7999999999999972</v>
      </c>
      <c r="B50" s="1" t="s">
        <v>139</v>
      </c>
      <c r="C50">
        <f>C51/('Financial Statements'!B18+'Financial Statements'!B79)</f>
        <v>16.488620433427045</v>
      </c>
      <c r="D50">
        <f>D51/('Financial Statements'!C18+'Financial Statements'!C79)</f>
        <v>24.824956542712901</v>
      </c>
      <c r="E50">
        <f>E51/('Financial Statements'!D18+'Financial Statements'!D79)</f>
        <v>30.053061646669423</v>
      </c>
    </row>
    <row r="51" spans="1:5" x14ac:dyDescent="0.2">
      <c r="A51" s="18"/>
      <c r="B51" s="3" t="s">
        <v>140</v>
      </c>
      <c r="C51">
        <f>(2.066*10^6)+'Financial Statements'!B55+'Financial Statements'!B59-'Financial Statements'!B36</f>
        <v>2152441</v>
      </c>
      <c r="D51">
        <f>(2.901*10^6)+'Financial Statements'!C55+'Financial Statements'!C59-'Financial Statements'!C36</f>
        <v>2984779</v>
      </c>
      <c r="E51">
        <f>(2.255*10^6)+'Financial Statements'!D55+'Financial Statements'!D59-'Financial Statements'!D36</f>
        <v>2324424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Gabriel Louis</cp:lastModifiedBy>
  <dcterms:created xsi:type="dcterms:W3CDTF">2020-05-18T16:32:37Z</dcterms:created>
  <dcterms:modified xsi:type="dcterms:W3CDTF">2023-12-04T09:22:55Z</dcterms:modified>
</cp:coreProperties>
</file>