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8c18b44a40d55c/Documents/Quil capital/"/>
    </mc:Choice>
  </mc:AlternateContent>
  <xr:revisionPtr revIDLastSave="558" documentId="8_{D5C33088-22CB-454E-84DD-457AAE5D0358}" xr6:coauthVersionLast="47" xr6:coauthVersionMax="47" xr10:uidLastSave="{893C0D01-E41E-4D44-B1F1-83673EFB77D7}"/>
  <bookViews>
    <workbookView xWindow="13740" yWindow="0" windowWidth="15135" windowHeight="15585" activeTab="2" xr2:uid="{00000000-000D-0000-FFFF-FFFF00000000}"/>
  </bookViews>
  <sheets>
    <sheet name="Instructions" sheetId="1" r:id="rId1"/>
    <sheet name="Financial Statements" sheetId="2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3" l="1"/>
  <c r="E91" i="3"/>
  <c r="D51" i="3"/>
  <c r="E51" i="3"/>
  <c r="D43" i="3"/>
  <c r="E43" i="3"/>
  <c r="G59" i="2"/>
  <c r="H59" i="2"/>
  <c r="F59" i="2"/>
  <c r="D35" i="3"/>
  <c r="E35" i="3"/>
  <c r="C35" i="3"/>
  <c r="G42" i="2"/>
  <c r="H42" i="2"/>
  <c r="F42" i="2"/>
  <c r="C91" i="3" s="1"/>
  <c r="D28" i="3"/>
  <c r="E28" i="3"/>
  <c r="C28" i="3"/>
  <c r="D27" i="3"/>
  <c r="E27" i="3"/>
  <c r="C27" i="3"/>
  <c r="D21" i="3"/>
  <c r="E21" i="3"/>
  <c r="C21" i="3"/>
  <c r="G24" i="2"/>
  <c r="H24" i="2"/>
  <c r="F24" i="2"/>
  <c r="D90" i="3"/>
  <c r="E90" i="3"/>
  <c r="C90" i="3"/>
  <c r="D86" i="3"/>
  <c r="E86" i="3"/>
  <c r="C86" i="3"/>
  <c r="D85" i="3"/>
  <c r="E85" i="3"/>
  <c r="E83" i="3"/>
  <c r="C85" i="3"/>
  <c r="E78" i="3"/>
  <c r="I59" i="3"/>
  <c r="I62" i="3"/>
  <c r="I69" i="3"/>
  <c r="I73" i="3"/>
  <c r="H62" i="3"/>
  <c r="K62" i="3" s="1"/>
  <c r="H66" i="3"/>
  <c r="H58" i="3"/>
  <c r="I55" i="3"/>
  <c r="H55" i="3"/>
  <c r="K55" i="3" s="1"/>
  <c r="C73" i="3"/>
  <c r="H73" i="3" s="1"/>
  <c r="K73" i="3" s="1"/>
  <c r="D73" i="3"/>
  <c r="E73" i="3"/>
  <c r="D70" i="3"/>
  <c r="H70" i="3" s="1"/>
  <c r="E70" i="3"/>
  <c r="E71" i="3" s="1"/>
  <c r="C70" i="3"/>
  <c r="D69" i="3"/>
  <c r="D71" i="3" s="1"/>
  <c r="E69" i="3"/>
  <c r="C69" i="3"/>
  <c r="H69" i="3" s="1"/>
  <c r="K69" i="3" s="1"/>
  <c r="D66" i="3"/>
  <c r="E66" i="3"/>
  <c r="C66" i="3"/>
  <c r="D65" i="3"/>
  <c r="D67" i="3" s="1"/>
  <c r="E65" i="3"/>
  <c r="C65" i="3"/>
  <c r="C67" i="3" s="1"/>
  <c r="D63" i="3"/>
  <c r="H63" i="3" s="1"/>
  <c r="E63" i="3"/>
  <c r="I63" i="3" s="1"/>
  <c r="C63" i="3"/>
  <c r="C84" i="3" s="1"/>
  <c r="D62" i="3"/>
  <c r="D83" i="3" s="1"/>
  <c r="E62" i="3"/>
  <c r="C62" i="3"/>
  <c r="C83" i="3" s="1"/>
  <c r="D61" i="3"/>
  <c r="H61" i="3" s="1"/>
  <c r="E61" i="3"/>
  <c r="E82" i="3" s="1"/>
  <c r="C61" i="3"/>
  <c r="C82" i="3" s="1"/>
  <c r="D60" i="3"/>
  <c r="D81" i="3" s="1"/>
  <c r="E60" i="3"/>
  <c r="I60" i="3" s="1"/>
  <c r="C60" i="3"/>
  <c r="C81" i="3" s="1"/>
  <c r="D59" i="3"/>
  <c r="H59" i="3" s="1"/>
  <c r="K59" i="3" s="1"/>
  <c r="E59" i="3"/>
  <c r="E80" i="3" s="1"/>
  <c r="C59" i="3"/>
  <c r="C80" i="3" s="1"/>
  <c r="D58" i="3"/>
  <c r="D78" i="3" s="1"/>
  <c r="E58" i="3"/>
  <c r="I58" i="3" s="1"/>
  <c r="C58" i="3"/>
  <c r="C78" i="3" s="1"/>
  <c r="D56" i="3"/>
  <c r="H56" i="3" s="1"/>
  <c r="E56" i="3"/>
  <c r="I56" i="3" s="1"/>
  <c r="C56" i="3"/>
  <c r="C79" i="3" s="1"/>
  <c r="B74" i="3"/>
  <c r="B73" i="3"/>
  <c r="B69" i="3"/>
  <c r="B67" i="3"/>
  <c r="B65" i="3"/>
  <c r="B63" i="3"/>
  <c r="B62" i="3"/>
  <c r="B61" i="3"/>
  <c r="B60" i="3"/>
  <c r="B59" i="3"/>
  <c r="B58" i="3"/>
  <c r="C92" i="3" l="1"/>
  <c r="K56" i="3"/>
  <c r="H71" i="3"/>
  <c r="D74" i="3"/>
  <c r="H74" i="3" s="1"/>
  <c r="E74" i="3"/>
  <c r="I74" i="3" s="1"/>
  <c r="I71" i="3"/>
  <c r="K63" i="3"/>
  <c r="K58" i="3"/>
  <c r="H67" i="3"/>
  <c r="E84" i="3"/>
  <c r="E67" i="3"/>
  <c r="I67" i="3" s="1"/>
  <c r="H60" i="3"/>
  <c r="K60" i="3" s="1"/>
  <c r="D82" i="3"/>
  <c r="D84" i="3"/>
  <c r="E79" i="3"/>
  <c r="D79" i="3"/>
  <c r="I70" i="3"/>
  <c r="K70" i="3" s="1"/>
  <c r="C71" i="3"/>
  <c r="C74" i="3" s="1"/>
  <c r="I66" i="3"/>
  <c r="K66" i="3" s="1"/>
  <c r="D80" i="3"/>
  <c r="I65" i="3"/>
  <c r="E81" i="3"/>
  <c r="H65" i="3"/>
  <c r="I61" i="3"/>
  <c r="K61" i="3" s="1"/>
  <c r="G60" i="2"/>
  <c r="H60" i="2"/>
  <c r="F60" i="2"/>
  <c r="C51" i="3" s="1"/>
  <c r="D49" i="3"/>
  <c r="E49" i="3"/>
  <c r="C49" i="3"/>
  <c r="G65" i="2"/>
  <c r="H65" i="2"/>
  <c r="F65" i="2"/>
  <c r="C47" i="3"/>
  <c r="D47" i="3"/>
  <c r="E47" i="3"/>
  <c r="D46" i="3"/>
  <c r="E46" i="3" s="1"/>
  <c r="C44" i="3"/>
  <c r="D45" i="3"/>
  <c r="E45" i="3" s="1"/>
  <c r="E44" i="3" s="1"/>
  <c r="D42" i="3"/>
  <c r="E42" i="3"/>
  <c r="C43" i="3"/>
  <c r="C42" i="3" s="1"/>
  <c r="D41" i="3"/>
  <c r="D40" i="3" s="1"/>
  <c r="E41" i="3"/>
  <c r="E40" i="3" s="1"/>
  <c r="C41" i="3"/>
  <c r="C40" i="3" s="1"/>
  <c r="D37" i="3"/>
  <c r="E37" i="3"/>
  <c r="C37" i="3"/>
  <c r="D36" i="3"/>
  <c r="E36" i="3"/>
  <c r="C36" i="3"/>
  <c r="D34" i="3"/>
  <c r="E34" i="3"/>
  <c r="C34" i="3"/>
  <c r="C31" i="3"/>
  <c r="C30" i="3" s="1"/>
  <c r="G103" i="2"/>
  <c r="H103" i="2"/>
  <c r="F103" i="2"/>
  <c r="G101" i="2"/>
  <c r="H101" i="2"/>
  <c r="F101" i="2"/>
  <c r="D26" i="3"/>
  <c r="E26" i="3"/>
  <c r="C26" i="3"/>
  <c r="D25" i="3"/>
  <c r="E25" i="3"/>
  <c r="C25" i="3"/>
  <c r="E31" i="3" l="1"/>
  <c r="E30" i="3" s="1"/>
  <c r="E92" i="3"/>
  <c r="D31" i="3"/>
  <c r="D30" i="3" s="1"/>
  <c r="D92" i="3"/>
  <c r="K67" i="3"/>
  <c r="K65" i="3"/>
  <c r="K74" i="3"/>
  <c r="K71" i="3"/>
  <c r="D44" i="3"/>
  <c r="D22" i="3"/>
  <c r="E22" i="3"/>
  <c r="C22" i="3"/>
  <c r="E20" i="3"/>
  <c r="D19" i="3"/>
  <c r="D50" i="3" s="1"/>
  <c r="E19" i="3"/>
  <c r="E50" i="3" s="1"/>
  <c r="C19" i="3"/>
  <c r="C50" i="3" s="1"/>
  <c r="G18" i="2"/>
  <c r="H18" i="2"/>
  <c r="F18" i="2"/>
  <c r="G22" i="2"/>
  <c r="H22" i="2"/>
  <c r="F22" i="2"/>
  <c r="D17" i="3"/>
  <c r="E17" i="3"/>
  <c r="C17" i="3"/>
  <c r="D14" i="3"/>
  <c r="D13" i="3" s="1"/>
  <c r="E14" i="3"/>
  <c r="E13" i="3" s="1"/>
  <c r="C14" i="3"/>
  <c r="C13" i="3" s="1"/>
  <c r="D11" i="3"/>
  <c r="E11" i="3"/>
  <c r="C11" i="3"/>
  <c r="D10" i="3"/>
  <c r="E10" i="3"/>
  <c r="C10" i="3"/>
  <c r="D9" i="3"/>
  <c r="E9" i="3"/>
  <c r="C9" i="3"/>
  <c r="D8" i="3"/>
  <c r="E8" i="3"/>
  <c r="C8" i="3"/>
  <c r="G82" i="2"/>
  <c r="H82" i="2"/>
  <c r="F82" i="2"/>
  <c r="G81" i="2"/>
  <c r="H81" i="2"/>
  <c r="F81" i="2"/>
  <c r="D7" i="3"/>
  <c r="E7" i="3"/>
  <c r="C7" i="3"/>
  <c r="D6" i="3"/>
  <c r="E6" i="3"/>
  <c r="C6" i="3"/>
  <c r="G36" i="2"/>
  <c r="H36" i="2"/>
  <c r="F36" i="2"/>
  <c r="D5" i="3"/>
  <c r="E5" i="3"/>
  <c r="C5" i="3"/>
  <c r="C12" i="3" l="1"/>
  <c r="E12" i="3"/>
  <c r="D12" i="3"/>
  <c r="E18" i="3"/>
  <c r="C18" i="3"/>
  <c r="D18" i="3"/>
  <c r="C29" i="3"/>
  <c r="C48" i="3"/>
  <c r="E48" i="3"/>
  <c r="E29" i="3"/>
  <c r="D48" i="3"/>
  <c r="D29" i="3"/>
  <c r="C20" i="3"/>
  <c r="D20" i="3"/>
  <c r="A47" i="3"/>
  <c r="A49" i="3" s="1"/>
  <c r="A16" i="3"/>
  <c r="A24" i="3" s="1"/>
  <c r="A5" i="3"/>
  <c r="A6" i="3" s="1"/>
  <c r="A7" i="3" s="1"/>
  <c r="A8" i="3" s="1"/>
  <c r="A9" i="3" s="1"/>
  <c r="A10" i="3" s="1"/>
  <c r="A11" i="3" s="1"/>
  <c r="A12" i="3" s="1"/>
  <c r="A13" i="3" s="1"/>
  <c r="A33" i="3" l="1"/>
  <c r="A25" i="3"/>
  <c r="A26" i="3" s="1"/>
  <c r="A27" i="3" s="1"/>
  <c r="A28" i="3" s="1"/>
  <c r="A29" i="3" s="1"/>
  <c r="A30" i="3" s="1"/>
  <c r="A17" i="3"/>
  <c r="A18" i="3" s="1"/>
  <c r="A20" i="3" s="1"/>
  <c r="A22" i="3" s="1"/>
  <c r="A34" i="3" l="1"/>
  <c r="A35" i="3" s="1"/>
  <c r="A36" i="3" s="1"/>
  <c r="A37" i="3" s="1"/>
  <c r="A39" i="3"/>
  <c r="A40" i="3" s="1"/>
  <c r="A41" i="3" s="1"/>
  <c r="A42" i="3" s="1"/>
  <c r="A43" i="3" s="1"/>
  <c r="A44" i="3" s="1"/>
  <c r="A46" i="3" s="1"/>
  <c r="A48" i="3" s="1"/>
  <c r="A50" i="3" s="1"/>
</calcChain>
</file>

<file path=xl/sharedStrings.xml><?xml version="1.0" encoding="utf-8"?>
<sst xmlns="http://schemas.openxmlformats.org/spreadsheetml/2006/main" count="213" uniqueCount="187">
  <si>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</si>
  <si>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</si>
  <si>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</si>
  <si>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</si>
  <si>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</si>
  <si>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</si>
  <si>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</si>
  <si>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</si>
  <si>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</si>
  <si>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</si>
  <si>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</si>
  <si>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</si>
  <si>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</si>
  <si>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</si>
  <si>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</si>
  <si>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</si>
  <si>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</si>
  <si>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</si>
  <si>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</si>
  <si>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</si>
  <si>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</si>
  <si>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</si>
  <si>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</si>
  <si>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</si>
  <si>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</si>
  <si>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</si>
  <si>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</si>
  <si>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</si>
  <si>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</si>
  <si>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</si>
  <si>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</si>
  <si>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</si>
  <si>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</si>
  <si>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</si>
  <si>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</si>
  <si>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</si>
  <si>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</si>
  <si>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</si>
  <si>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</si>
  <si>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</si>
  <si>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</si>
  <si>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</si>
  <si>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</si>
  <si>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</si>
  <si>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</si>
  <si>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</si>
  <si>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</si>
  <si>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</si>
  <si>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</si>
  <si>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</si>
  <si>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</si>
  <si>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</si>
  <si>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</si>
  <si>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</si>
  <si>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</si>
  <si>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</si>
  <si>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 xml:space="preserve">Years ended </t>
  </si>
  <si>
    <t xml:space="preserve">As at </t>
  </si>
  <si>
    <t>Years ended ,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</si>
  <si>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</si>
  <si>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</si>
  <si>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</si>
  <si>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Amazon</t>
  </si>
  <si>
    <t>Net product sales</t>
  </si>
  <si>
    <t>Net service sales</t>
  </si>
  <si>
    <t>Total Net sales</t>
  </si>
  <si>
    <t>Operating expenses:</t>
  </si>
  <si>
    <t>Cost of sales</t>
  </si>
  <si>
    <t>Fulfilment</t>
  </si>
  <si>
    <t>Technology and content</t>
  </si>
  <si>
    <t>Sales and marketing</t>
  </si>
  <si>
    <t>General and administrative</t>
  </si>
  <si>
    <t>Other operating expense (Income) net</t>
  </si>
  <si>
    <t>Total Operating expenses</t>
  </si>
  <si>
    <t>Operating income</t>
  </si>
  <si>
    <t>interest income</t>
  </si>
  <si>
    <t>Interest expense</t>
  </si>
  <si>
    <t>Other income (Expense), net</t>
  </si>
  <si>
    <t>Total non-operating income (Expense)</t>
  </si>
  <si>
    <t>Income (Loss) before income taxes</t>
  </si>
  <si>
    <t>Equity-method investment activity, net of tax</t>
  </si>
  <si>
    <t>Net income (loss)</t>
  </si>
  <si>
    <t>Basic earnings per share</t>
  </si>
  <si>
    <t>Diluted earnings per share</t>
  </si>
  <si>
    <t>Weighted-average shares used in computation of earnings per share:</t>
  </si>
  <si>
    <t xml:space="preserve">Basic  </t>
  </si>
  <si>
    <t xml:space="preserve">Diluted </t>
  </si>
  <si>
    <t>Benefit (Provision) for income taxes</t>
  </si>
  <si>
    <t>Assets</t>
  </si>
  <si>
    <t>Current assets:</t>
  </si>
  <si>
    <t>Cash and cash equivalents</t>
  </si>
  <si>
    <t>Marketable securities</t>
  </si>
  <si>
    <t>Invesntories</t>
  </si>
  <si>
    <t>Accounts recievable, net and other</t>
  </si>
  <si>
    <t>Total current assets</t>
  </si>
  <si>
    <t>Property and Equipment, net</t>
  </si>
  <si>
    <t>Operating leases</t>
  </si>
  <si>
    <t>Goodwill</t>
  </si>
  <si>
    <t>Other assets</t>
  </si>
  <si>
    <t>Total assets</t>
  </si>
  <si>
    <t>Liabilities and Stock holders' Equity</t>
  </si>
  <si>
    <t>Current liabilities:</t>
  </si>
  <si>
    <t>Accounts payable</t>
  </si>
  <si>
    <t>Accrued expenses and other</t>
  </si>
  <si>
    <t>Unearned revenue</t>
  </si>
  <si>
    <t>Total current liabilities</t>
  </si>
  <si>
    <t>Long-term lease liabilities</t>
  </si>
  <si>
    <t>Long-term debt</t>
  </si>
  <si>
    <t>Other long-term liabilities</t>
  </si>
  <si>
    <t>Commitments and Contingencies</t>
  </si>
  <si>
    <t>Stock holders' equity:</t>
  </si>
  <si>
    <t>Preffered stock ($0.01 par value; 500 shares authorized; no shares issued or outstanding)</t>
  </si>
  <si>
    <t>issued; 10,175 and 10,242 shares outstanding)</t>
  </si>
  <si>
    <t>Treasury stock; at cost</t>
  </si>
  <si>
    <t>Additional paid-in capital</t>
  </si>
  <si>
    <t>Accumulated other comprehensive income (loss)</t>
  </si>
  <si>
    <t>Retained earnings</t>
  </si>
  <si>
    <t>Total stockholders' equity</t>
  </si>
  <si>
    <t>Total liabilities and stockholders' equity</t>
  </si>
  <si>
    <t>-</t>
  </si>
  <si>
    <t>Cash, cash Equivalents, and restricted cash, beginning of period</t>
  </si>
  <si>
    <t>Operating Activities:</t>
  </si>
  <si>
    <t>Adjustments to reconcile net income (loss) to net cash from operating activities:</t>
  </si>
  <si>
    <t>Depreciation and amortization of property and equipment and capitalizated content</t>
  </si>
  <si>
    <t>costs, operating lease assets, and other</t>
  </si>
  <si>
    <t>Stock-based compensation</t>
  </si>
  <si>
    <t>Other expense (income),net</t>
  </si>
  <si>
    <t>Deferred income taxes</t>
  </si>
  <si>
    <t>Changes in operating assets and liabilities:</t>
  </si>
  <si>
    <t>Inventories</t>
  </si>
  <si>
    <t>Net cash provided by (used in) operating activities</t>
  </si>
  <si>
    <t>Investing activities:</t>
  </si>
  <si>
    <t>Purchases of property and equipment</t>
  </si>
  <si>
    <t>Proceeds from property and equipment sales and incentives</t>
  </si>
  <si>
    <t>Acquisitions, net of cash acquired, and other</t>
  </si>
  <si>
    <t>Sales and maturities of marketable securities</t>
  </si>
  <si>
    <t>Net cash provided by (used in) investing activities</t>
  </si>
  <si>
    <t>Financing activities:</t>
  </si>
  <si>
    <t>Common stock repurchased</t>
  </si>
  <si>
    <t>Proceeds from short-term debt, and other</t>
  </si>
  <si>
    <t>Repayments of short-term debt, and other</t>
  </si>
  <si>
    <t>Proceeds from long-term debt</t>
  </si>
  <si>
    <t>Principal repayments of finance leases</t>
  </si>
  <si>
    <t>Principal repayments of financing obligations</t>
  </si>
  <si>
    <t>Net cash provided by (used in) financing activities</t>
  </si>
  <si>
    <t>Foreign currency effect on cash, cash equivalents, and restricted cash</t>
  </si>
  <si>
    <t>Net increase (decrease) in cash, cash equivalents, and restricted cash</t>
  </si>
  <si>
    <t>Cash, Cash Equivalents, and Restricted cash, End of period</t>
  </si>
  <si>
    <t>Purchases of marketable securities</t>
  </si>
  <si>
    <t>Repayments of long-term debt</t>
  </si>
  <si>
    <t>Ordinary share number</t>
  </si>
  <si>
    <t>Cash and Cash equivalents + MS + Net Acc Recievables</t>
  </si>
  <si>
    <t>Daily operational expenses</t>
  </si>
  <si>
    <t>Total Non-cash charges</t>
  </si>
  <si>
    <t>Days</t>
  </si>
  <si>
    <t>Taxes</t>
  </si>
  <si>
    <t>Interest</t>
  </si>
  <si>
    <t>CAPEX</t>
  </si>
  <si>
    <t xml:space="preserve">Market price per share end of year </t>
  </si>
  <si>
    <t>N/A</t>
  </si>
  <si>
    <t>Capital Employed</t>
  </si>
  <si>
    <t>Market Cap</t>
  </si>
  <si>
    <t>Growth rates</t>
  </si>
  <si>
    <t>Growth rates:</t>
  </si>
  <si>
    <t>Average annual growth rates</t>
  </si>
  <si>
    <t>Sales</t>
  </si>
  <si>
    <t>Gross Profits</t>
  </si>
  <si>
    <t>Total Non-current liabilities</t>
  </si>
  <si>
    <t>Total Non-current Assets</t>
  </si>
  <si>
    <t>Total Liabilities</t>
  </si>
  <si>
    <t>Margins as % of sales:</t>
  </si>
  <si>
    <t>COGS (Cost of goods sold)</t>
  </si>
  <si>
    <t>Gross profits</t>
  </si>
  <si>
    <t>Net Profit</t>
  </si>
  <si>
    <t>Additional items:</t>
  </si>
  <si>
    <t>Income Tax rate</t>
  </si>
  <si>
    <t>CAPEX as a % of sales</t>
  </si>
  <si>
    <t>CAPEX as a % of fixed assets</t>
  </si>
  <si>
    <t>Feedback</t>
  </si>
  <si>
    <t>Do not include other income in EBITDA, use the operating income in row 16 and add D&amp;A to that</t>
  </si>
  <si>
    <t>Operating income in row 16</t>
  </si>
  <si>
    <t>Denominator, Capital = Debt + Total shareholder equity</t>
  </si>
  <si>
    <t>EBIT/Interest expense</t>
  </si>
  <si>
    <t>Link capex from cash flow, purchase of PPE, not from asset balances</t>
  </si>
  <si>
    <t>Fixed asset is only PPE</t>
  </si>
  <si>
    <t>Do not divide share count by 1000 for this company</t>
  </si>
  <si>
    <t>Link Capex from cash flow, purchase of 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</si>
</sst>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165" fontId="0" fillId="0" borderId="0" xfId="1" applyNumberFormat="1" applyFont="1" applyBorder="1"/>
    <xf numFmtId="0" fontId="2" fillId="0" borderId="0" xfId="0" applyFont="1" applyAlignment="1">
      <alignment horizontal="left" indent="1"/>
    </xf>
    <xf numFmtId="165" fontId="2" fillId="0" borderId="0" xfId="1" applyNumberFormat="1" applyFont="1" applyBorder="1"/>
    <xf numFmtId="0" fontId="2" fillId="0" borderId="0" xfId="0" applyFont="1" applyAlignment="1">
      <alignment horizontal="left" indent="4"/>
    </xf>
    <xf numFmtId="0" fontId="2" fillId="0" borderId="0" xfId="0" applyFont="1" applyAlignment="1">
      <alignment horizontal="left" indent="2"/>
    </xf>
    <xf numFmtId="165" fontId="0" fillId="0" borderId="3" xfId="1" applyNumberFormat="1" applyFont="1" applyBorder="1"/>
    <xf numFmtId="165" fontId="0" fillId="0" borderId="4" xfId="1" applyNumberFormat="1" applyFont="1" applyBorder="1"/>
    <xf numFmtId="165" fontId="2" fillId="0" borderId="4" xfId="1" applyNumberFormat="1" applyFont="1" applyBorder="1"/>
    <xf numFmtId="165" fontId="0" fillId="0" borderId="0" xfId="1" applyNumberFormat="1" applyFont="1" applyFill="1" applyBorder="1"/>
    <xf numFmtId="165" fontId="1" fillId="0" borderId="0" xfId="1" applyNumberFormat="1" applyFont="1" applyBorder="1"/>
    <xf numFmtId="165" fontId="2" fillId="0" borderId="4" xfId="1" applyNumberFormat="1" applyFont="1" applyFill="1" applyBorder="1"/>
    <xf numFmtId="165" fontId="1" fillId="0" borderId="3" xfId="1" applyNumberFormat="1" applyFont="1" applyBorder="1"/>
    <xf numFmtId="165" fontId="1" fillId="0" borderId="4" xfId="1" applyNumberFormat="1" applyFont="1" applyBorder="1"/>
    <xf numFmtId="165" fontId="1" fillId="0" borderId="0" xfId="1" applyNumberFormat="1" applyFont="1" applyFill="1" applyBorder="1"/>
    <xf numFmtId="165" fontId="3" fillId="2" borderId="0" xfId="1" applyNumberFormat="1" applyFont="1" applyFill="1"/>
    <xf numFmtId="164" fontId="1" fillId="0" borderId="0" xfId="1" applyFont="1" applyFill="1" applyBorder="1"/>
    <xf numFmtId="164" fontId="0" fillId="0" borderId="0" xfId="1" applyFont="1" applyFill="1" applyBorder="1"/>
    <xf numFmtId="164" fontId="1" fillId="0" borderId="3" xfId="1" applyFont="1" applyBorder="1"/>
    <xf numFmtId="164" fontId="0" fillId="0" borderId="3" xfId="1" applyFont="1" applyBorder="1"/>
    <xf numFmtId="1" fontId="0" fillId="0" borderId="0" xfId="0" applyNumberFormat="1"/>
    <xf numFmtId="1" fontId="2" fillId="0" borderId="3" xfId="1" applyNumberFormat="1" applyFont="1" applyBorder="1" applyAlignment="1">
      <alignment horizontal="center"/>
    </xf>
    <xf numFmtId="1" fontId="2" fillId="0" borderId="3" xfId="1" applyNumberFormat="1" applyFont="1" applyBorder="1"/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indent="3"/>
    </xf>
    <xf numFmtId="2" fontId="0" fillId="0" borderId="0" xfId="0" applyNumberFormat="1"/>
    <xf numFmtId="1" fontId="2" fillId="0" borderId="3" xfId="0" applyNumberFormat="1" applyFont="1" applyBorder="1"/>
    <xf numFmtId="165" fontId="0" fillId="0" borderId="0" xfId="0" applyNumberFormat="1"/>
    <xf numFmtId="1" fontId="2" fillId="0" borderId="0" xfId="1" applyNumberFormat="1" applyFont="1" applyFill="1" applyBorder="1"/>
    <xf numFmtId="43" fontId="0" fillId="0" borderId="0" xfId="0" applyNumberFormat="1"/>
    <xf numFmtId="167" fontId="0" fillId="0" borderId="0" xfId="0" applyNumberFormat="1"/>
    <xf numFmtId="9" fontId="0" fillId="0" borderId="0" xfId="3" applyFont="1"/>
    <xf numFmtId="10" fontId="0" fillId="0" borderId="0" xfId="3" applyNumberFormat="1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5" sqref="A5"/>
    </sheetView>
  </sheetViews>
  <sheetFormatPr defaultRowHeight="15" x14ac:dyDescent="0.25"/>
  <cols>
    <col min="1" max="1" width="157.85546875" style="2" customWidth="1"/>
  </cols>
  <sheetData>
    <row r="1" spans="1:1" ht="23.25" x14ac:dyDescent="0.35">
      <c r="A1" s="3" t="s">
        <v>0</v>
      </c>
    </row>
    <row r="3" spans="1:1" x14ac:dyDescent="0.25">
      <c r="A3" s="2" t="s">
        <v>61</v>
      </c>
    </row>
    <row r="4" spans="1:1" x14ac:dyDescent="0.25">
      <c r="A4" s="5" t="s">
        <v>5</v>
      </c>
    </row>
    <row r="5" spans="1:1" x14ac:dyDescent="0.25">
      <c r="A5" s="6" t="s">
        <v>1</v>
      </c>
    </row>
    <row r="7" spans="1:1" x14ac:dyDescent="0.25">
      <c r="A7" s="2" t="s">
        <v>59</v>
      </c>
    </row>
    <row r="8" spans="1:1" x14ac:dyDescent="0.25">
      <c r="A8" s="2" t="s">
        <v>60</v>
      </c>
    </row>
    <row r="9" spans="1:1" ht="30" x14ac:dyDescent="0.25">
      <c r="A9" s="2" t="s">
        <v>2</v>
      </c>
    </row>
    <row r="10" spans="1:1" x14ac:dyDescent="0.25">
      <c r="A10" s="2" t="s">
        <v>6</v>
      </c>
    </row>
    <row r="11" spans="1:1" x14ac:dyDescent="0.25">
      <c r="A11" s="2" t="s">
        <v>4</v>
      </c>
    </row>
    <row r="13" spans="1:1" x14ac:dyDescent="0.25">
      <c r="A13" s="4" t="s">
        <v>3</v>
      </c>
    </row>
    <row r="14" spans="1:1" x14ac:dyDescent="0.25">
      <c r="A14" s="2" t="s">
        <v>7</v>
      </c>
    </row>
    <row r="15" spans="1:1" x14ac:dyDescent="0.25">
      <c r="A15" s="2" t="s">
        <v>8</v>
      </c>
    </row>
  </sheetData>
  <hyperlinks>
    <hyperlink ref="A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6"/>
  <sheetViews>
    <sheetView topLeftCell="A66" workbookViewId="0">
      <selection activeCell="F42" sqref="F42"/>
    </sheetView>
  </sheetViews>
  <sheetFormatPr defaultRowHeight="15" x14ac:dyDescent="0.25"/>
  <cols>
    <col min="1" max="1" width="76.140625" customWidth="1"/>
    <col min="2" max="3" width="11.5703125" style="10" bestFit="1" customWidth="1"/>
    <col min="4" max="4" width="11.7109375" style="10" bestFit="1" customWidth="1"/>
    <col min="5" max="8" width="10.5703125" bestFit="1" customWidth="1"/>
  </cols>
  <sheetData>
    <row r="1" spans="1:10" ht="60" customHeight="1" x14ac:dyDescent="0.25">
      <c r="A1" s="7" t="s">
        <v>62</v>
      </c>
      <c r="B1" s="34" t="s">
        <v>9</v>
      </c>
      <c r="C1" s="34"/>
      <c r="D1" s="34"/>
      <c r="E1" s="8"/>
      <c r="F1" s="8"/>
      <c r="G1" s="8"/>
      <c r="H1" s="8"/>
      <c r="I1" s="8"/>
      <c r="J1" s="8"/>
    </row>
    <row r="2" spans="1:10" x14ac:dyDescent="0.25">
      <c r="A2" s="59" t="s">
        <v>10</v>
      </c>
      <c r="B2" s="59"/>
      <c r="C2" s="59"/>
      <c r="D2" s="59"/>
    </row>
    <row r="3" spans="1:10" x14ac:dyDescent="0.25">
      <c r="B3" s="58" t="s">
        <v>56</v>
      </c>
      <c r="C3" s="58"/>
      <c r="D3" s="58"/>
    </row>
    <row r="4" spans="1:10" s="39" customFormat="1" x14ac:dyDescent="0.25">
      <c r="B4" s="40">
        <v>2020</v>
      </c>
      <c r="C4" s="40">
        <v>2021</v>
      </c>
      <c r="D4" s="40">
        <v>2022</v>
      </c>
      <c r="F4" s="46">
        <v>2020</v>
      </c>
      <c r="G4" s="46">
        <v>2021</v>
      </c>
      <c r="H4" s="46">
        <v>2022</v>
      </c>
    </row>
    <row r="5" spans="1:10" s="10" customFormat="1" x14ac:dyDescent="0.25">
      <c r="A5" s="20" t="s">
        <v>63</v>
      </c>
      <c r="B5" s="29">
        <v>215915</v>
      </c>
      <c r="C5" s="20">
        <v>241787</v>
      </c>
      <c r="D5" s="20">
        <v>242901</v>
      </c>
    </row>
    <row r="6" spans="1:10" x14ac:dyDescent="0.25">
      <c r="A6" s="19" t="s">
        <v>64</v>
      </c>
      <c r="B6" s="31">
        <v>170149</v>
      </c>
      <c r="C6" s="25">
        <v>228035</v>
      </c>
      <c r="D6" s="25">
        <v>271082</v>
      </c>
    </row>
    <row r="7" spans="1:10" s="9" customFormat="1" x14ac:dyDescent="0.25">
      <c r="A7" s="21" t="s">
        <v>65</v>
      </c>
      <c r="B7" s="27">
        <v>386064</v>
      </c>
      <c r="C7" s="27">
        <v>469822</v>
      </c>
      <c r="D7" s="27">
        <v>513983</v>
      </c>
    </row>
    <row r="8" spans="1:10" x14ac:dyDescent="0.25">
      <c r="A8" s="9" t="s">
        <v>66</v>
      </c>
      <c r="B8" s="29"/>
      <c r="C8" s="22"/>
      <c r="D8" s="22"/>
    </row>
    <row r="9" spans="1:10" x14ac:dyDescent="0.25">
      <c r="A9" s="14" t="s">
        <v>67</v>
      </c>
      <c r="B9" s="29">
        <v>233307</v>
      </c>
      <c r="C9" s="20">
        <v>272344</v>
      </c>
      <c r="D9" s="20">
        <v>288831</v>
      </c>
    </row>
    <row r="10" spans="1:10" x14ac:dyDescent="0.25">
      <c r="A10" s="14" t="s">
        <v>68</v>
      </c>
      <c r="B10" s="29">
        <v>58517</v>
      </c>
      <c r="C10" s="20">
        <v>75111</v>
      </c>
      <c r="D10" s="20">
        <v>84299</v>
      </c>
    </row>
    <row r="11" spans="1:10" x14ac:dyDescent="0.25">
      <c r="A11" s="14" t="s">
        <v>69</v>
      </c>
      <c r="B11" s="29">
        <v>42740</v>
      </c>
      <c r="C11" s="20">
        <v>56052</v>
      </c>
      <c r="D11" s="20">
        <v>73213</v>
      </c>
    </row>
    <row r="12" spans="1:10" x14ac:dyDescent="0.25">
      <c r="A12" s="14" t="s">
        <v>70</v>
      </c>
      <c r="B12" s="29">
        <v>22008</v>
      </c>
      <c r="C12" s="29">
        <v>32551</v>
      </c>
      <c r="D12" s="29">
        <v>42238</v>
      </c>
    </row>
    <row r="13" spans="1:10" x14ac:dyDescent="0.25">
      <c r="A13" s="14" t="s">
        <v>71</v>
      </c>
      <c r="B13" s="29">
        <v>6668</v>
      </c>
      <c r="C13" s="29">
        <v>8823</v>
      </c>
      <c r="D13" s="29">
        <v>11891</v>
      </c>
    </row>
    <row r="14" spans="1:10" x14ac:dyDescent="0.25">
      <c r="A14" s="14" t="s">
        <v>72</v>
      </c>
      <c r="B14" s="31">
        <v>-75</v>
      </c>
      <c r="C14" s="25">
        <v>62</v>
      </c>
      <c r="D14" s="25">
        <v>1263</v>
      </c>
    </row>
    <row r="15" spans="1:10" s="9" customFormat="1" x14ac:dyDescent="0.25">
      <c r="A15" s="23" t="s">
        <v>73</v>
      </c>
      <c r="B15" s="27">
        <v>363165</v>
      </c>
      <c r="C15" s="27">
        <v>444943</v>
      </c>
      <c r="D15" s="27">
        <v>501735</v>
      </c>
    </row>
    <row r="16" spans="1:10" x14ac:dyDescent="0.25">
      <c r="A16" s="18" t="s">
        <v>74</v>
      </c>
      <c r="B16" s="29">
        <v>22899</v>
      </c>
      <c r="C16" s="20">
        <v>24879</v>
      </c>
      <c r="D16" s="20">
        <v>12248</v>
      </c>
    </row>
    <row r="17" spans="1:9" x14ac:dyDescent="0.25">
      <c r="A17" t="s">
        <v>75</v>
      </c>
      <c r="B17" s="29">
        <v>555</v>
      </c>
      <c r="C17" s="29">
        <v>448</v>
      </c>
      <c r="D17" s="29">
        <v>989</v>
      </c>
    </row>
    <row r="18" spans="1:9" x14ac:dyDescent="0.25">
      <c r="A18" t="s">
        <v>76</v>
      </c>
      <c r="B18" s="29">
        <v>-1647</v>
      </c>
      <c r="C18" s="29">
        <v>-1809</v>
      </c>
      <c r="D18" s="29">
        <v>-2367</v>
      </c>
      <c r="F18" s="47">
        <f>-B18</f>
        <v>1647</v>
      </c>
      <c r="G18" s="47">
        <f t="shared" ref="G18:H18" si="0">-C18</f>
        <v>1809</v>
      </c>
      <c r="H18" s="47">
        <f t="shared" si="0"/>
        <v>2367</v>
      </c>
      <c r="I18" s="9" t="s">
        <v>156</v>
      </c>
    </row>
    <row r="19" spans="1:9" x14ac:dyDescent="0.25">
      <c r="A19" t="s">
        <v>77</v>
      </c>
      <c r="B19" s="31">
        <v>2371</v>
      </c>
      <c r="C19" s="25">
        <v>14633</v>
      </c>
      <c r="D19" s="25">
        <v>-16806</v>
      </c>
      <c r="I19" s="9"/>
    </row>
    <row r="20" spans="1:9" s="9" customFormat="1" x14ac:dyDescent="0.25">
      <c r="A20" s="24" t="s">
        <v>78</v>
      </c>
      <c r="B20" s="27">
        <v>1279</v>
      </c>
      <c r="C20" s="27">
        <v>13272</v>
      </c>
      <c r="D20" s="27">
        <v>-18184</v>
      </c>
    </row>
    <row r="21" spans="1:9" x14ac:dyDescent="0.25">
      <c r="A21" t="s">
        <v>79</v>
      </c>
      <c r="B21" s="29">
        <v>24178</v>
      </c>
      <c r="C21" s="20">
        <v>38151</v>
      </c>
      <c r="D21" s="20">
        <v>-5936</v>
      </c>
      <c r="I21" s="9"/>
    </row>
    <row r="22" spans="1:9" x14ac:dyDescent="0.25">
      <c r="A22" t="s">
        <v>87</v>
      </c>
      <c r="B22" s="29">
        <v>-2863</v>
      </c>
      <c r="C22" s="29">
        <v>-4791</v>
      </c>
      <c r="D22" s="29">
        <v>3217</v>
      </c>
      <c r="F22" s="47">
        <f>-B22</f>
        <v>2863</v>
      </c>
      <c r="G22" s="47">
        <f t="shared" ref="G22:H22" si="1">-C22</f>
        <v>4791</v>
      </c>
      <c r="H22" s="47">
        <f t="shared" si="1"/>
        <v>-3217</v>
      </c>
      <c r="I22" s="9" t="s">
        <v>155</v>
      </c>
    </row>
    <row r="23" spans="1:9" x14ac:dyDescent="0.25">
      <c r="A23" t="s">
        <v>80</v>
      </c>
      <c r="B23" s="31">
        <v>16</v>
      </c>
      <c r="C23" s="25">
        <v>4</v>
      </c>
      <c r="D23" s="25">
        <v>-3</v>
      </c>
    </row>
    <row r="24" spans="1:9" s="9" customFormat="1" x14ac:dyDescent="0.25">
      <c r="A24" s="9" t="s">
        <v>81</v>
      </c>
      <c r="B24" s="30">
        <v>21331</v>
      </c>
      <c r="C24" s="30">
        <v>33364</v>
      </c>
      <c r="D24" s="30">
        <v>2722</v>
      </c>
      <c r="F24" s="47">
        <f>B16+F22+F18+B80</f>
        <v>52589</v>
      </c>
      <c r="G24" s="47">
        <f t="shared" ref="G24:H24" si="2">C16+G22+G18+C80</f>
        <v>65912</v>
      </c>
      <c r="H24" s="47">
        <f t="shared" si="2"/>
        <v>53319</v>
      </c>
      <c r="I24" s="9" t="s">
        <v>27</v>
      </c>
    </row>
    <row r="25" spans="1:9" x14ac:dyDescent="0.25">
      <c r="A25" s="1" t="s">
        <v>82</v>
      </c>
      <c r="B25" s="35">
        <v>2.13</v>
      </c>
      <c r="C25" s="36">
        <v>3.3</v>
      </c>
      <c r="D25" s="36">
        <v>-0.27</v>
      </c>
    </row>
    <row r="26" spans="1:9" x14ac:dyDescent="0.25">
      <c r="A26" s="1" t="s">
        <v>83</v>
      </c>
      <c r="B26" s="37">
        <v>2.09</v>
      </c>
      <c r="C26" s="38">
        <v>3.24</v>
      </c>
      <c r="D26" s="38">
        <v>-0.27</v>
      </c>
    </row>
    <row r="27" spans="1:9" x14ac:dyDescent="0.25">
      <c r="A27" s="9" t="s">
        <v>84</v>
      </c>
      <c r="B27" s="32"/>
      <c r="C27" s="26"/>
      <c r="D27" s="26"/>
    </row>
    <row r="28" spans="1:9" x14ac:dyDescent="0.25">
      <c r="A28" s="1" t="s">
        <v>85</v>
      </c>
      <c r="B28" s="29">
        <v>10005</v>
      </c>
      <c r="C28" s="28">
        <v>10117</v>
      </c>
      <c r="D28" s="28">
        <v>10189</v>
      </c>
    </row>
    <row r="29" spans="1:9" x14ac:dyDescent="0.25">
      <c r="A29" s="1" t="s">
        <v>86</v>
      </c>
      <c r="B29" s="33">
        <v>10198</v>
      </c>
      <c r="C29" s="28">
        <v>10296</v>
      </c>
      <c r="D29" s="28">
        <v>10189</v>
      </c>
    </row>
    <row r="31" spans="1:9" x14ac:dyDescent="0.25">
      <c r="A31" s="59" t="s">
        <v>12</v>
      </c>
      <c r="B31" s="59"/>
      <c r="C31" s="59"/>
      <c r="D31" s="59"/>
    </row>
    <row r="32" spans="1:9" x14ac:dyDescent="0.25">
      <c r="B32" s="58" t="s">
        <v>57</v>
      </c>
      <c r="C32" s="58"/>
      <c r="D32" s="58"/>
    </row>
    <row r="33" spans="1:9" s="39" customFormat="1" x14ac:dyDescent="0.25">
      <c r="B33" s="41">
        <v>2020</v>
      </c>
      <c r="C33" s="41">
        <v>2021</v>
      </c>
      <c r="D33" s="41">
        <v>2022</v>
      </c>
      <c r="F33" s="46">
        <v>2020</v>
      </c>
      <c r="G33" s="46">
        <v>2021</v>
      </c>
      <c r="H33" s="46">
        <v>2022</v>
      </c>
    </row>
    <row r="34" spans="1:9" s="9" customFormat="1" x14ac:dyDescent="0.25">
      <c r="A34" s="42" t="s">
        <v>88</v>
      </c>
      <c r="B34" s="22"/>
      <c r="C34" s="22"/>
      <c r="D34" s="22"/>
    </row>
    <row r="35" spans="1:9" s="9" customFormat="1" x14ac:dyDescent="0.25">
      <c r="A35" s="9" t="s">
        <v>89</v>
      </c>
      <c r="B35" s="22"/>
      <c r="C35" s="22"/>
      <c r="D35" s="22"/>
    </row>
    <row r="36" spans="1:9" x14ac:dyDescent="0.25">
      <c r="A36" s="1" t="s">
        <v>90</v>
      </c>
      <c r="B36" s="20">
        <v>42122</v>
      </c>
      <c r="C36" s="20">
        <v>36220</v>
      </c>
      <c r="D36" s="20">
        <v>53888</v>
      </c>
      <c r="F36" s="47">
        <f>B36+B37+B39</f>
        <v>108938</v>
      </c>
      <c r="G36" s="47">
        <f t="shared" ref="G36:H36" si="3">C36+C37+C39</f>
        <v>128940</v>
      </c>
      <c r="H36" s="47">
        <f t="shared" si="3"/>
        <v>112386</v>
      </c>
      <c r="I36" s="9" t="s">
        <v>151</v>
      </c>
    </row>
    <row r="37" spans="1:9" x14ac:dyDescent="0.25">
      <c r="A37" s="1" t="s">
        <v>91</v>
      </c>
      <c r="B37" s="20">
        <v>42274</v>
      </c>
      <c r="C37" s="20">
        <v>59829</v>
      </c>
      <c r="D37" s="20">
        <v>16138</v>
      </c>
    </row>
    <row r="38" spans="1:9" x14ac:dyDescent="0.25">
      <c r="A38" s="1" t="s">
        <v>92</v>
      </c>
      <c r="B38" s="20">
        <v>23795</v>
      </c>
      <c r="C38" s="20">
        <v>32640</v>
      </c>
      <c r="D38" s="20">
        <v>34405</v>
      </c>
    </row>
    <row r="39" spans="1:9" x14ac:dyDescent="0.25">
      <c r="A39" s="1" t="s">
        <v>93</v>
      </c>
      <c r="B39" s="25">
        <v>24542</v>
      </c>
      <c r="C39" s="25">
        <v>32891</v>
      </c>
      <c r="D39" s="25">
        <v>42360</v>
      </c>
    </row>
    <row r="40" spans="1:9" s="9" customFormat="1" x14ac:dyDescent="0.25">
      <c r="A40" s="18" t="s">
        <v>94</v>
      </c>
      <c r="B40" s="27">
        <v>132733</v>
      </c>
      <c r="C40" s="27">
        <v>161580</v>
      </c>
      <c r="D40" s="27">
        <v>146791</v>
      </c>
    </row>
    <row r="41" spans="1:9" x14ac:dyDescent="0.25">
      <c r="A41" s="1" t="s">
        <v>95</v>
      </c>
      <c r="B41" s="20">
        <v>113114</v>
      </c>
      <c r="C41" s="20">
        <v>160281</v>
      </c>
      <c r="D41" s="20">
        <v>186715</v>
      </c>
      <c r="E41" s="28"/>
      <c r="F41" s="47"/>
      <c r="G41" s="47"/>
      <c r="H41" s="47"/>
      <c r="I41" s="9"/>
    </row>
    <row r="42" spans="1:9" x14ac:dyDescent="0.25">
      <c r="A42" s="1" t="s">
        <v>96</v>
      </c>
      <c r="B42" s="29">
        <v>37553</v>
      </c>
      <c r="C42" s="29">
        <v>56082</v>
      </c>
      <c r="D42" s="29">
        <v>66123</v>
      </c>
      <c r="F42" s="47">
        <f>-B92</f>
        <v>40140</v>
      </c>
      <c r="G42" s="47">
        <f t="shared" ref="G42:H42" si="4">-C92</f>
        <v>61053</v>
      </c>
      <c r="H42" s="47">
        <f t="shared" si="4"/>
        <v>63645</v>
      </c>
      <c r="I42" s="9" t="s">
        <v>157</v>
      </c>
    </row>
    <row r="43" spans="1:9" x14ac:dyDescent="0.25">
      <c r="A43" s="1" t="s">
        <v>97</v>
      </c>
      <c r="B43" s="20">
        <v>15017</v>
      </c>
      <c r="C43" s="20">
        <v>15371</v>
      </c>
      <c r="D43" s="20">
        <v>20288</v>
      </c>
      <c r="I43" s="9"/>
    </row>
    <row r="44" spans="1:9" x14ac:dyDescent="0.25">
      <c r="A44" s="1" t="s">
        <v>98</v>
      </c>
      <c r="B44" s="20">
        <v>22778</v>
      </c>
      <c r="C44" s="20">
        <v>27235</v>
      </c>
      <c r="D44" s="20">
        <v>42758</v>
      </c>
      <c r="I44" s="9"/>
    </row>
    <row r="45" spans="1:9" s="9" customFormat="1" ht="15.75" thickBot="1" x14ac:dyDescent="0.3">
      <c r="A45" s="18" t="s">
        <v>99</v>
      </c>
      <c r="B45" s="12">
        <v>321195</v>
      </c>
      <c r="C45" s="12">
        <v>420549</v>
      </c>
      <c r="D45" s="12">
        <v>462675</v>
      </c>
    </row>
    <row r="46" spans="1:9" s="9" customFormat="1" ht="15.75" thickTop="1" x14ac:dyDescent="0.25">
      <c r="A46" s="18"/>
      <c r="B46" s="22"/>
      <c r="C46" s="22"/>
      <c r="D46" s="22"/>
    </row>
    <row r="47" spans="1:9" x14ac:dyDescent="0.25">
      <c r="A47" s="43" t="s">
        <v>100</v>
      </c>
      <c r="B47" s="20"/>
      <c r="C47" s="20"/>
      <c r="D47" s="20"/>
      <c r="I47" s="9"/>
    </row>
    <row r="48" spans="1:9" x14ac:dyDescent="0.25">
      <c r="A48" s="9" t="s">
        <v>101</v>
      </c>
      <c r="B48" s="22"/>
      <c r="C48"/>
      <c r="D48"/>
      <c r="I48" s="9"/>
    </row>
    <row r="49" spans="1:9" x14ac:dyDescent="0.25">
      <c r="A49" s="1" t="s">
        <v>102</v>
      </c>
      <c r="B49" s="29">
        <v>72539</v>
      </c>
      <c r="C49" s="29">
        <v>78664</v>
      </c>
      <c r="D49" s="29">
        <v>79600</v>
      </c>
      <c r="I49" s="9"/>
    </row>
    <row r="50" spans="1:9" x14ac:dyDescent="0.25">
      <c r="A50" s="1" t="s">
        <v>103</v>
      </c>
      <c r="B50" s="29">
        <v>44138</v>
      </c>
      <c r="C50" s="29">
        <v>51775</v>
      </c>
      <c r="D50" s="29">
        <v>62566</v>
      </c>
      <c r="I50" s="9"/>
    </row>
    <row r="51" spans="1:9" x14ac:dyDescent="0.25">
      <c r="A51" s="1" t="s">
        <v>104</v>
      </c>
      <c r="B51" s="20">
        <v>9708</v>
      </c>
      <c r="C51" s="20">
        <v>11827</v>
      </c>
      <c r="D51" s="20">
        <v>13227</v>
      </c>
      <c r="I51" s="9"/>
    </row>
    <row r="52" spans="1:9" s="9" customFormat="1" x14ac:dyDescent="0.25">
      <c r="A52" s="18" t="s">
        <v>105</v>
      </c>
      <c r="B52" s="27">
        <v>126385</v>
      </c>
      <c r="C52" s="27">
        <v>142266</v>
      </c>
      <c r="D52" s="27">
        <v>155393</v>
      </c>
    </row>
    <row r="53" spans="1:9" x14ac:dyDescent="0.25">
      <c r="A53" s="1" t="s">
        <v>106</v>
      </c>
      <c r="B53" s="20">
        <v>52573</v>
      </c>
      <c r="C53" s="20">
        <v>67651</v>
      </c>
      <c r="D53" s="20">
        <v>72968</v>
      </c>
      <c r="I53" s="9"/>
    </row>
    <row r="54" spans="1:9" x14ac:dyDescent="0.25">
      <c r="A54" s="1" t="s">
        <v>107</v>
      </c>
      <c r="B54" s="20">
        <v>31816</v>
      </c>
      <c r="C54" s="20">
        <v>48744</v>
      </c>
      <c r="D54" s="20">
        <v>67150</v>
      </c>
      <c r="I54" s="9"/>
    </row>
    <row r="55" spans="1:9" x14ac:dyDescent="0.25">
      <c r="A55" s="1" t="s">
        <v>108</v>
      </c>
      <c r="B55" s="20">
        <v>17017</v>
      </c>
      <c r="C55" s="20">
        <v>23643</v>
      </c>
      <c r="D55" s="20">
        <v>21121</v>
      </c>
      <c r="F55" s="47"/>
      <c r="G55" s="47"/>
      <c r="H55" s="47"/>
      <c r="I55" s="9"/>
    </row>
    <row r="56" spans="1:9" x14ac:dyDescent="0.25">
      <c r="A56" s="1" t="s">
        <v>109</v>
      </c>
      <c r="B56" s="20"/>
      <c r="C56" s="20"/>
      <c r="D56" s="20"/>
      <c r="F56" s="47"/>
      <c r="G56" s="47"/>
      <c r="H56" s="47"/>
      <c r="I56" s="9"/>
    </row>
    <row r="57" spans="1:9" x14ac:dyDescent="0.25">
      <c r="A57" s="9" t="s">
        <v>110</v>
      </c>
      <c r="B57" s="22"/>
      <c r="C57" s="22"/>
      <c r="D57" s="22"/>
      <c r="I57" s="9"/>
    </row>
    <row r="58" spans="1:9" x14ac:dyDescent="0.25">
      <c r="A58" s="1" t="s">
        <v>111</v>
      </c>
      <c r="B58" s="20" t="s">
        <v>119</v>
      </c>
      <c r="C58" s="20" t="s">
        <v>119</v>
      </c>
      <c r="D58" s="20" t="s">
        <v>119</v>
      </c>
      <c r="I58" s="9"/>
    </row>
    <row r="59" spans="1:9" x14ac:dyDescent="0.25">
      <c r="A59" s="1" t="s">
        <v>150</v>
      </c>
      <c r="B59" s="20">
        <v>10060</v>
      </c>
      <c r="C59" s="20">
        <v>10180</v>
      </c>
      <c r="D59" s="20">
        <v>10242</v>
      </c>
      <c r="F59" s="49">
        <f>B59</f>
        <v>10060</v>
      </c>
      <c r="G59" s="49">
        <f t="shared" ref="G59:H59" si="5">C59</f>
        <v>10180</v>
      </c>
      <c r="H59" s="49">
        <f t="shared" si="5"/>
        <v>10242</v>
      </c>
      <c r="I59" s="9"/>
    </row>
    <row r="60" spans="1:9" x14ac:dyDescent="0.25">
      <c r="A60" s="1" t="s">
        <v>112</v>
      </c>
      <c r="B60" s="20"/>
      <c r="C60" s="20">
        <v>106</v>
      </c>
      <c r="D60" s="20">
        <v>108</v>
      </c>
      <c r="F60" s="10">
        <f>F64*F59</f>
        <v>1638271</v>
      </c>
      <c r="G60" s="10">
        <f t="shared" ref="G60:H60" si="6">G64*G59</f>
        <v>1697209.6</v>
      </c>
      <c r="H60" s="10">
        <f t="shared" si="6"/>
        <v>881631.36</v>
      </c>
      <c r="I60" s="9" t="s">
        <v>161</v>
      </c>
    </row>
    <row r="61" spans="1:9" x14ac:dyDescent="0.25">
      <c r="A61" s="1" t="s">
        <v>113</v>
      </c>
      <c r="B61" s="20">
        <v>-1837</v>
      </c>
      <c r="C61" s="20">
        <v>-1837</v>
      </c>
      <c r="D61" s="20">
        <v>-7837</v>
      </c>
      <c r="I61" s="9"/>
    </row>
    <row r="62" spans="1:9" x14ac:dyDescent="0.25">
      <c r="A62" s="1" t="s">
        <v>114</v>
      </c>
      <c r="B62" s="20">
        <v>42865</v>
      </c>
      <c r="C62" s="20">
        <v>55437</v>
      </c>
      <c r="D62" s="20">
        <v>75066</v>
      </c>
      <c r="I62" s="9"/>
    </row>
    <row r="63" spans="1:9" x14ac:dyDescent="0.25">
      <c r="A63" s="1" t="s">
        <v>115</v>
      </c>
      <c r="B63" s="29">
        <v>-180</v>
      </c>
      <c r="C63" s="29">
        <v>-1376</v>
      </c>
      <c r="D63" s="29">
        <v>-4487</v>
      </c>
      <c r="I63" s="9"/>
    </row>
    <row r="64" spans="1:9" x14ac:dyDescent="0.25">
      <c r="A64" s="1" t="s">
        <v>116</v>
      </c>
      <c r="B64" s="20">
        <v>52551</v>
      </c>
      <c r="C64" s="20">
        <v>85915</v>
      </c>
      <c r="D64" s="20">
        <v>83193</v>
      </c>
      <c r="F64" s="36">
        <v>162.85</v>
      </c>
      <c r="G64" s="36">
        <v>166.72</v>
      </c>
      <c r="H64" s="36">
        <v>86.08</v>
      </c>
      <c r="I64" s="9" t="s">
        <v>158</v>
      </c>
    </row>
    <row r="65" spans="1:9" s="9" customFormat="1" x14ac:dyDescent="0.25">
      <c r="A65" s="18" t="s">
        <v>117</v>
      </c>
      <c r="B65" s="27">
        <v>93404</v>
      </c>
      <c r="C65" s="27">
        <v>138245</v>
      </c>
      <c r="D65" s="27">
        <v>146043</v>
      </c>
      <c r="F65" s="47">
        <f>B65+B54</f>
        <v>125220</v>
      </c>
      <c r="G65" s="47">
        <f t="shared" ref="G65:H65" si="7">C65+C54</f>
        <v>186989</v>
      </c>
      <c r="H65" s="47">
        <f t="shared" si="7"/>
        <v>213193</v>
      </c>
      <c r="I65" s="9" t="s">
        <v>160</v>
      </c>
    </row>
    <row r="66" spans="1:9" s="9" customFormat="1" ht="15.75" thickBot="1" x14ac:dyDescent="0.3">
      <c r="A66" s="18" t="s">
        <v>118</v>
      </c>
      <c r="B66" s="12">
        <v>321195</v>
      </c>
      <c r="C66" s="12">
        <v>420549</v>
      </c>
      <c r="D66" s="12">
        <v>462675</v>
      </c>
    </row>
    <row r="67" spans="1:9" ht="15.75" thickTop="1" x14ac:dyDescent="0.25">
      <c r="A67" s="1"/>
      <c r="B67" s="20"/>
      <c r="C67" s="20"/>
      <c r="D67" s="20"/>
      <c r="I67" s="9"/>
    </row>
    <row r="68" spans="1:9" x14ac:dyDescent="0.25">
      <c r="A68" s="1"/>
      <c r="B68" s="20"/>
      <c r="C68" s="20"/>
      <c r="D68" s="20"/>
      <c r="I68" s="9"/>
    </row>
    <row r="69" spans="1:9" x14ac:dyDescent="0.25">
      <c r="A69" s="9"/>
      <c r="B69" s="22"/>
      <c r="C69" s="22"/>
      <c r="D69" s="22"/>
      <c r="I69" s="9"/>
    </row>
    <row r="70" spans="1:9" x14ac:dyDescent="0.25">
      <c r="A70" s="9"/>
      <c r="B70" s="22"/>
      <c r="C70" s="22"/>
      <c r="D70" s="22"/>
      <c r="I70" s="9"/>
    </row>
    <row r="71" spans="1:9" x14ac:dyDescent="0.25">
      <c r="I71" s="9"/>
    </row>
    <row r="72" spans="1:9" x14ac:dyDescent="0.25">
      <c r="A72" s="59" t="s">
        <v>13</v>
      </c>
      <c r="B72" s="59"/>
      <c r="C72" s="59"/>
      <c r="D72" s="59"/>
      <c r="I72" s="9"/>
    </row>
    <row r="73" spans="1:9" x14ac:dyDescent="0.25">
      <c r="B73" s="58" t="s">
        <v>56</v>
      </c>
      <c r="C73" s="58"/>
      <c r="D73" s="58"/>
      <c r="I73" s="9"/>
    </row>
    <row r="74" spans="1:9" x14ac:dyDescent="0.25">
      <c r="B74" s="41">
        <v>2020</v>
      </c>
      <c r="C74" s="41">
        <v>2021</v>
      </c>
      <c r="D74" s="41">
        <v>2022</v>
      </c>
      <c r="F74" s="48">
        <v>2020</v>
      </c>
      <c r="G74" s="48">
        <v>2021</v>
      </c>
      <c r="H74" s="48">
        <v>2022</v>
      </c>
      <c r="I74" s="9"/>
    </row>
    <row r="75" spans="1:9" x14ac:dyDescent="0.25">
      <c r="A75" s="9" t="s">
        <v>120</v>
      </c>
      <c r="B75" s="13">
        <v>36410</v>
      </c>
      <c r="C75" s="13">
        <v>42377</v>
      </c>
      <c r="D75" s="13">
        <v>36477</v>
      </c>
      <c r="I75" s="9"/>
    </row>
    <row r="76" spans="1:9" x14ac:dyDescent="0.25">
      <c r="A76" s="9" t="s">
        <v>121</v>
      </c>
      <c r="B76" s="13"/>
      <c r="C76" s="13"/>
      <c r="D76" s="13"/>
      <c r="I76" s="9"/>
    </row>
    <row r="77" spans="1:9" x14ac:dyDescent="0.25">
      <c r="A77" t="s">
        <v>81</v>
      </c>
      <c r="B77" s="10">
        <v>21331</v>
      </c>
      <c r="C77" s="10">
        <v>33364</v>
      </c>
      <c r="D77" s="10">
        <v>-2722</v>
      </c>
      <c r="I77" s="9"/>
    </row>
    <row r="78" spans="1:9" x14ac:dyDescent="0.25">
      <c r="A78" s="9" t="s">
        <v>122</v>
      </c>
      <c r="B78" s="13"/>
      <c r="C78" s="13"/>
      <c r="D78" s="13"/>
      <c r="I78" s="9"/>
    </row>
    <row r="79" spans="1:9" x14ac:dyDescent="0.25">
      <c r="A79" s="1" t="s">
        <v>123</v>
      </c>
      <c r="I79" s="9"/>
    </row>
    <row r="80" spans="1:9" x14ac:dyDescent="0.25">
      <c r="A80" s="1" t="s">
        <v>124</v>
      </c>
      <c r="B80" s="10">
        <v>25180</v>
      </c>
      <c r="C80" s="10">
        <v>34433</v>
      </c>
      <c r="D80" s="10">
        <v>41921</v>
      </c>
      <c r="I80" s="9"/>
    </row>
    <row r="81" spans="1:9" x14ac:dyDescent="0.25">
      <c r="A81" s="14" t="s">
        <v>125</v>
      </c>
      <c r="B81" s="10">
        <v>9208</v>
      </c>
      <c r="C81" s="10">
        <v>12757</v>
      </c>
      <c r="D81" s="10">
        <v>19621</v>
      </c>
      <c r="F81" s="47">
        <f>B80+B81</f>
        <v>34388</v>
      </c>
      <c r="G81" s="47">
        <f t="shared" ref="G81:H81" si="8">C80+C81</f>
        <v>47190</v>
      </c>
      <c r="H81" s="47">
        <f t="shared" si="8"/>
        <v>61542</v>
      </c>
      <c r="I81" s="9" t="s">
        <v>153</v>
      </c>
    </row>
    <row r="82" spans="1:9" x14ac:dyDescent="0.25">
      <c r="A82" s="14" t="s">
        <v>126</v>
      </c>
      <c r="B82" s="10">
        <v>-2582</v>
      </c>
      <c r="C82" s="10">
        <v>-14306</v>
      </c>
      <c r="D82" s="10">
        <v>16966</v>
      </c>
      <c r="F82" s="49">
        <f>(B15-F81)/365</f>
        <v>900.75890410958903</v>
      </c>
      <c r="G82" s="49">
        <f t="shared" ref="G82:H82" si="9">(C15-G81)/365</f>
        <v>1089.7342465753425</v>
      </c>
      <c r="H82" s="49">
        <f t="shared" si="9"/>
        <v>1206.0082191780823</v>
      </c>
      <c r="I82" s="9" t="s">
        <v>152</v>
      </c>
    </row>
    <row r="83" spans="1:9" x14ac:dyDescent="0.25">
      <c r="A83" s="14" t="s">
        <v>127</v>
      </c>
      <c r="B83" s="10">
        <v>-554</v>
      </c>
      <c r="C83" s="10">
        <v>-310</v>
      </c>
      <c r="D83" s="10">
        <v>-8148</v>
      </c>
      <c r="I83" s="9"/>
    </row>
    <row r="84" spans="1:9" x14ac:dyDescent="0.25">
      <c r="A84" s="14" t="s">
        <v>128</v>
      </c>
      <c r="I84" s="9"/>
    </row>
    <row r="85" spans="1:9" x14ac:dyDescent="0.25">
      <c r="A85" s="1" t="s">
        <v>129</v>
      </c>
      <c r="B85" s="10">
        <v>-2849</v>
      </c>
      <c r="C85" s="10">
        <v>-9487</v>
      </c>
      <c r="D85" s="10">
        <v>-2592</v>
      </c>
      <c r="I85" s="9"/>
    </row>
    <row r="86" spans="1:9" x14ac:dyDescent="0.25">
      <c r="A86" s="1" t="s">
        <v>93</v>
      </c>
      <c r="B86" s="10">
        <v>-8169</v>
      </c>
      <c r="C86" s="10">
        <v>-18163</v>
      </c>
      <c r="D86" s="10">
        <v>-21897</v>
      </c>
      <c r="I86" s="9"/>
    </row>
    <row r="87" spans="1:9" x14ac:dyDescent="0.25">
      <c r="A87" s="1" t="s">
        <v>102</v>
      </c>
      <c r="B87" s="10">
        <v>17480</v>
      </c>
      <c r="C87" s="10">
        <v>3602</v>
      </c>
      <c r="D87" s="10">
        <v>2945</v>
      </c>
      <c r="I87" s="9"/>
    </row>
    <row r="88" spans="1:9" x14ac:dyDescent="0.25">
      <c r="A88" s="1" t="s">
        <v>103</v>
      </c>
      <c r="B88" s="10">
        <v>5754</v>
      </c>
      <c r="C88" s="10">
        <v>2123</v>
      </c>
      <c r="D88" s="10">
        <v>-1558</v>
      </c>
      <c r="I88" s="9"/>
    </row>
    <row r="89" spans="1:9" x14ac:dyDescent="0.25">
      <c r="A89" s="1" t="s">
        <v>104</v>
      </c>
      <c r="B89" s="10">
        <v>1265</v>
      </c>
      <c r="C89" s="10">
        <v>2314</v>
      </c>
      <c r="D89" s="10">
        <v>2216</v>
      </c>
      <c r="I89" s="9"/>
    </row>
    <row r="90" spans="1:9" x14ac:dyDescent="0.25">
      <c r="A90" s="44" t="s">
        <v>130</v>
      </c>
      <c r="B90" s="27">
        <v>66064</v>
      </c>
      <c r="C90" s="27">
        <v>46327</v>
      </c>
      <c r="D90" s="27">
        <v>46752</v>
      </c>
      <c r="I90" s="9"/>
    </row>
    <row r="91" spans="1:9" x14ac:dyDescent="0.25">
      <c r="A91" s="9" t="s">
        <v>131</v>
      </c>
      <c r="B91" s="22"/>
      <c r="C91" s="22"/>
      <c r="D91" s="22"/>
      <c r="I91" s="9"/>
    </row>
    <row r="92" spans="1:9" x14ac:dyDescent="0.25">
      <c r="A92" s="1" t="s">
        <v>132</v>
      </c>
      <c r="B92" s="22">
        <v>-40140</v>
      </c>
      <c r="C92" s="22">
        <v>-61053</v>
      </c>
      <c r="D92" s="22">
        <v>-63645</v>
      </c>
      <c r="I92" s="9"/>
    </row>
    <row r="93" spans="1:9" x14ac:dyDescent="0.25">
      <c r="A93" s="1" t="s">
        <v>133</v>
      </c>
      <c r="B93" s="20">
        <v>5096</v>
      </c>
      <c r="C93" s="20">
        <v>5657</v>
      </c>
      <c r="D93" s="20">
        <v>5324</v>
      </c>
      <c r="I93" s="9"/>
    </row>
    <row r="94" spans="1:9" x14ac:dyDescent="0.25">
      <c r="A94" s="1" t="s">
        <v>134</v>
      </c>
      <c r="B94" s="20">
        <v>-2325</v>
      </c>
      <c r="C94" s="20">
        <v>-1985</v>
      </c>
      <c r="D94" s="20">
        <v>-8316</v>
      </c>
      <c r="I94" s="9"/>
    </row>
    <row r="95" spans="1:9" x14ac:dyDescent="0.25">
      <c r="A95" s="1" t="s">
        <v>135</v>
      </c>
      <c r="B95" s="20">
        <v>50237</v>
      </c>
      <c r="C95" s="20">
        <v>59384</v>
      </c>
      <c r="D95" s="20">
        <v>31601</v>
      </c>
      <c r="I95" s="9"/>
    </row>
    <row r="96" spans="1:9" x14ac:dyDescent="0.25">
      <c r="A96" s="1" t="s">
        <v>148</v>
      </c>
      <c r="B96" s="20">
        <v>-72479</v>
      </c>
      <c r="C96" s="20">
        <v>-60157</v>
      </c>
      <c r="D96" s="20">
        <v>-2565</v>
      </c>
      <c r="I96" s="9"/>
    </row>
    <row r="97" spans="1:9" x14ac:dyDescent="0.25">
      <c r="A97" s="24" t="s">
        <v>136</v>
      </c>
      <c r="B97" s="27">
        <v>-59611</v>
      </c>
      <c r="C97" s="27">
        <v>-58154</v>
      </c>
      <c r="D97" s="27">
        <v>-37601</v>
      </c>
      <c r="I97" s="9"/>
    </row>
    <row r="98" spans="1:9" x14ac:dyDescent="0.25">
      <c r="A98" s="9" t="s">
        <v>137</v>
      </c>
      <c r="B98" s="20"/>
      <c r="C98" s="20"/>
      <c r="D98" s="20"/>
      <c r="I98" s="9"/>
    </row>
    <row r="99" spans="1:9" x14ac:dyDescent="0.25">
      <c r="A99" s="1" t="s">
        <v>138</v>
      </c>
      <c r="B99" s="20" t="s">
        <v>119</v>
      </c>
      <c r="C99" s="20" t="s">
        <v>119</v>
      </c>
      <c r="D99" s="20">
        <v>-6000</v>
      </c>
      <c r="I99" s="9"/>
    </row>
    <row r="100" spans="1:9" x14ac:dyDescent="0.25">
      <c r="A100" s="1" t="s">
        <v>139</v>
      </c>
      <c r="B100" s="20">
        <v>6796</v>
      </c>
      <c r="C100" s="20">
        <v>7956</v>
      </c>
      <c r="D100" s="20">
        <v>41553</v>
      </c>
      <c r="I100" s="9"/>
    </row>
    <row r="101" spans="1:9" x14ac:dyDescent="0.25">
      <c r="A101" s="1" t="s">
        <v>140</v>
      </c>
      <c r="B101" s="20">
        <v>-6177</v>
      </c>
      <c r="C101" s="20">
        <v>-7753</v>
      </c>
      <c r="D101" s="20">
        <v>-37554</v>
      </c>
      <c r="F101" s="47">
        <f>-B101</f>
        <v>6177</v>
      </c>
      <c r="G101" s="47">
        <f t="shared" ref="G101:H101" si="10">-C101</f>
        <v>7753</v>
      </c>
      <c r="H101" s="47">
        <f t="shared" si="10"/>
        <v>37554</v>
      </c>
      <c r="I101" s="9"/>
    </row>
    <row r="102" spans="1:9" x14ac:dyDescent="0.25">
      <c r="A102" s="1" t="s">
        <v>141</v>
      </c>
      <c r="B102" s="20">
        <v>10525</v>
      </c>
      <c r="C102" s="20">
        <v>19003</v>
      </c>
      <c r="D102" s="20">
        <v>21166</v>
      </c>
      <c r="I102" s="9"/>
    </row>
    <row r="103" spans="1:9" x14ac:dyDescent="0.25">
      <c r="A103" s="1" t="s">
        <v>149</v>
      </c>
      <c r="B103" s="20">
        <v>-1553</v>
      </c>
      <c r="C103" s="20">
        <v>-1590</v>
      </c>
      <c r="D103" s="20">
        <v>-1258</v>
      </c>
      <c r="F103" s="47">
        <f>-B103</f>
        <v>1553</v>
      </c>
      <c r="G103" s="47">
        <f t="shared" ref="G103:H103" si="11">-C103</f>
        <v>1590</v>
      </c>
      <c r="H103" s="47">
        <f t="shared" si="11"/>
        <v>1258</v>
      </c>
      <c r="I103" s="9"/>
    </row>
    <row r="104" spans="1:9" x14ac:dyDescent="0.25">
      <c r="A104" t="s">
        <v>142</v>
      </c>
      <c r="B104" s="29">
        <v>-10642</v>
      </c>
      <c r="C104" s="29">
        <v>-11163</v>
      </c>
      <c r="D104" s="29">
        <v>-7941</v>
      </c>
      <c r="I104" s="9"/>
    </row>
    <row r="105" spans="1:9" x14ac:dyDescent="0.25">
      <c r="A105" t="s">
        <v>143</v>
      </c>
      <c r="B105" s="29">
        <v>-53</v>
      </c>
      <c r="C105" s="29">
        <v>-162</v>
      </c>
      <c r="D105" s="29">
        <v>-248</v>
      </c>
      <c r="I105" s="9"/>
    </row>
    <row r="106" spans="1:9" x14ac:dyDescent="0.25">
      <c r="A106" s="24" t="s">
        <v>144</v>
      </c>
      <c r="B106" s="11">
        <v>-1104</v>
      </c>
      <c r="C106" s="11">
        <v>6291</v>
      </c>
      <c r="D106" s="11">
        <v>9718</v>
      </c>
      <c r="I106" s="9"/>
    </row>
    <row r="107" spans="1:9" x14ac:dyDescent="0.25">
      <c r="A107" s="1" t="s">
        <v>145</v>
      </c>
      <c r="B107" s="20">
        <v>618</v>
      </c>
      <c r="C107" s="20">
        <v>-364</v>
      </c>
      <c r="D107" s="20">
        <v>-1093</v>
      </c>
      <c r="I107" s="9"/>
    </row>
    <row r="108" spans="1:9" x14ac:dyDescent="0.25">
      <c r="A108" s="21" t="s">
        <v>146</v>
      </c>
      <c r="B108" s="27">
        <v>5967</v>
      </c>
      <c r="C108" s="27">
        <v>-5900</v>
      </c>
      <c r="D108" s="27">
        <v>17776</v>
      </c>
      <c r="I108" s="9"/>
    </row>
    <row r="109" spans="1:9" ht="15.75" thickBot="1" x14ac:dyDescent="0.3">
      <c r="A109" s="21" t="s">
        <v>147</v>
      </c>
      <c r="B109" s="12">
        <v>42377</v>
      </c>
      <c r="C109" s="12">
        <v>36477</v>
      </c>
      <c r="D109" s="12">
        <v>54243</v>
      </c>
      <c r="I109" s="9"/>
    </row>
    <row r="110" spans="1:9" ht="15.75" thickTop="1" x14ac:dyDescent="0.25">
      <c r="A110" s="1"/>
      <c r="I110" s="9"/>
    </row>
    <row r="111" spans="1:9" x14ac:dyDescent="0.25">
      <c r="A111" s="1"/>
      <c r="I111" s="9"/>
    </row>
    <row r="112" spans="1:9" x14ac:dyDescent="0.25">
      <c r="A112" s="1"/>
      <c r="I112" s="9"/>
    </row>
    <row r="113" spans="1:9" x14ac:dyDescent="0.25">
      <c r="A113" s="1"/>
      <c r="I113" s="9"/>
    </row>
    <row r="114" spans="1:9" x14ac:dyDescent="0.25">
      <c r="A114" s="9"/>
      <c r="B114" s="22"/>
      <c r="C114" s="22"/>
      <c r="D114" s="22"/>
    </row>
    <row r="115" spans="1:9" x14ac:dyDescent="0.25">
      <c r="A115" s="9"/>
      <c r="B115" s="22"/>
      <c r="C115" s="22"/>
      <c r="D115" s="22"/>
    </row>
    <row r="116" spans="1:9" x14ac:dyDescent="0.25">
      <c r="A116" s="9"/>
      <c r="B116" s="22"/>
      <c r="C116" s="22"/>
      <c r="D116" s="22"/>
    </row>
  </sheetData>
  <mergeCells count="6">
    <mergeCell ref="B73:D73"/>
    <mergeCell ref="A2:D2"/>
    <mergeCell ref="B3:D3"/>
    <mergeCell ref="A31:D31"/>
    <mergeCell ref="B32:D32"/>
    <mergeCell ref="A72:D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2"/>
  <sheetViews>
    <sheetView tabSelected="1" topLeftCell="A13" workbookViewId="0">
      <selection activeCell="F96" sqref="F96"/>
    </sheetView>
  </sheetViews>
  <sheetFormatPr defaultRowHeight="15" x14ac:dyDescent="0.25"/>
  <cols>
    <col min="1" max="1" width="4.7109375" customWidth="1"/>
    <col min="2" max="2" width="38" bestFit="1" customWidth="1"/>
    <col min="3" max="3" width="10.5703125" bestFit="1" customWidth="1"/>
    <col min="4" max="5" width="10.7109375" bestFit="1" customWidth="1"/>
    <col min="6" max="6" width="18.42578125" customWidth="1"/>
    <col min="7" max="7" width="5.140625" bestFit="1" customWidth="1"/>
    <col min="11" max="11" width="26.85546875" bestFit="1" customWidth="1"/>
  </cols>
  <sheetData>
    <row r="1" spans="1:11" ht="60" customHeight="1" x14ac:dyDescent="0.4">
      <c r="A1" s="7"/>
      <c r="B1" s="15" t="s">
        <v>62</v>
      </c>
      <c r="C1" s="16"/>
      <c r="D1" s="16"/>
      <c r="E1" s="16"/>
      <c r="F1" s="61" t="s">
        <v>178</v>
      </c>
      <c r="G1" s="16"/>
      <c r="H1" s="16"/>
      <c r="I1" s="16"/>
      <c r="J1" s="16"/>
      <c r="K1" s="16"/>
    </row>
    <row r="2" spans="1:11" x14ac:dyDescent="0.25">
      <c r="C2" s="60" t="s">
        <v>58</v>
      </c>
      <c r="D2" s="60"/>
      <c r="E2" s="60"/>
      <c r="F2" s="63"/>
    </row>
    <row r="3" spans="1:11" x14ac:dyDescent="0.25">
      <c r="C3" s="9">
        <v>2020</v>
      </c>
      <c r="D3" s="9">
        <v>2021</v>
      </c>
      <c r="E3" s="9">
        <v>2022</v>
      </c>
      <c r="F3" s="62"/>
    </row>
    <row r="4" spans="1:11" x14ac:dyDescent="0.25">
      <c r="A4" s="17">
        <v>1</v>
      </c>
      <c r="B4" s="9" t="s">
        <v>14</v>
      </c>
      <c r="F4" s="64"/>
    </row>
    <row r="5" spans="1:11" x14ac:dyDescent="0.25">
      <c r="A5" s="17">
        <f>+A4+0.1</f>
        <v>1.1000000000000001</v>
      </c>
      <c r="B5" s="1" t="s">
        <v>15</v>
      </c>
      <c r="C5" s="45">
        <f>'Financial Statements'!B40/'Financial Statements'!B52</f>
        <v>1.0502274795268425</v>
      </c>
      <c r="D5" s="45">
        <f>'Financial Statements'!C40/'Financial Statements'!C52</f>
        <v>1.1357597739445826</v>
      </c>
      <c r="E5" s="45">
        <f>'Financial Statements'!D40/'Financial Statements'!D52</f>
        <v>0.9446435811136924</v>
      </c>
      <c r="F5" s="64"/>
    </row>
    <row r="6" spans="1:11" x14ac:dyDescent="0.25">
      <c r="A6" s="17">
        <f t="shared" ref="A6:A13" si="0">+A5+0.1</f>
        <v>1.2000000000000002</v>
      </c>
      <c r="B6" s="1" t="s">
        <v>16</v>
      </c>
      <c r="C6" s="45">
        <f>'Financial Statements'!F36/'Financial Statements'!B52</f>
        <v>0.86195355461486722</v>
      </c>
      <c r="D6" s="45">
        <f>'Financial Statements'!G36/'Financial Statements'!C52</f>
        <v>0.90633039517523517</v>
      </c>
      <c r="E6" s="45">
        <f>'Financial Statements'!H36/'Financial Statements'!D52</f>
        <v>0.72323721145740161</v>
      </c>
      <c r="F6" s="64"/>
    </row>
    <row r="7" spans="1:11" x14ac:dyDescent="0.25">
      <c r="A7" s="17">
        <f t="shared" si="0"/>
        <v>1.3000000000000003</v>
      </c>
      <c r="B7" s="1" t="s">
        <v>17</v>
      </c>
      <c r="C7" s="45">
        <f>'Financial Statements'!B36/'Financial Statements'!B52</f>
        <v>0.33328322190133325</v>
      </c>
      <c r="D7" s="45">
        <f>'Financial Statements'!C36/'Financial Statements'!C52</f>
        <v>0.25459350793583851</v>
      </c>
      <c r="E7" s="45">
        <f>'Financial Statements'!D36/'Financial Statements'!D52</f>
        <v>0.34678524772673158</v>
      </c>
      <c r="F7" s="64"/>
    </row>
    <row r="8" spans="1:11" x14ac:dyDescent="0.25">
      <c r="A8" s="17">
        <f t="shared" si="0"/>
        <v>1.4000000000000004</v>
      </c>
      <c r="B8" s="1" t="s">
        <v>18</v>
      </c>
      <c r="C8" s="50">
        <f>'Financial Statements'!F36/'Financial Statements'!F82</f>
        <v>120.94024217022481</v>
      </c>
      <c r="D8" s="50">
        <f>'Financial Statements'!G36/'Financial Statements'!G82</f>
        <v>118.32242622934334</v>
      </c>
      <c r="E8" s="50">
        <f>'Financial Statements'!H36/'Financial Statements'!H82</f>
        <v>93.188419625028104</v>
      </c>
      <c r="F8" s="64"/>
      <c r="G8" t="s">
        <v>154</v>
      </c>
    </row>
    <row r="9" spans="1:11" x14ac:dyDescent="0.25">
      <c r="A9" s="17">
        <f t="shared" si="0"/>
        <v>1.5000000000000004</v>
      </c>
      <c r="B9" s="1" t="s">
        <v>19</v>
      </c>
      <c r="C9" s="39">
        <f>('Financial Statements'!B38/'Financial Statements'!B9)*365</f>
        <v>37.226379834295585</v>
      </c>
      <c r="D9" s="39">
        <f>('Financial Statements'!C38/'Financial Statements'!C9)*365</f>
        <v>43.744675851129458</v>
      </c>
      <c r="E9" s="39">
        <f>('Financial Statements'!D38/'Financial Statements'!D9)*365</f>
        <v>43.4781065744328</v>
      </c>
      <c r="F9" s="64"/>
      <c r="G9" t="s">
        <v>154</v>
      </c>
    </row>
    <row r="10" spans="1:11" x14ac:dyDescent="0.25">
      <c r="A10" s="17">
        <f t="shared" si="0"/>
        <v>1.6000000000000005</v>
      </c>
      <c r="B10" s="1" t="s">
        <v>20</v>
      </c>
      <c r="C10" s="39">
        <f>('Financial Statements'!B49/'Financial Statements'!B9)*365</f>
        <v>113.48452896826929</v>
      </c>
      <c r="D10" s="39">
        <f>('Financial Statements'!C49/'Financial Statements'!C9)*365</f>
        <v>105.42681314807743</v>
      </c>
      <c r="E10" s="39">
        <f>('Financial Statements'!D49/'Financial Statements'!D9)*365</f>
        <v>100.59169548975007</v>
      </c>
      <c r="F10" s="64"/>
      <c r="G10" t="s">
        <v>154</v>
      </c>
    </row>
    <row r="11" spans="1:11" x14ac:dyDescent="0.25">
      <c r="A11" s="17">
        <f t="shared" si="0"/>
        <v>1.7000000000000006</v>
      </c>
      <c r="B11" s="1" t="s">
        <v>21</v>
      </c>
      <c r="C11" s="39">
        <f>('Financial Statements'!B39/'Financial Statements'!B7)*365</f>
        <v>23.202966347548593</v>
      </c>
      <c r="D11" s="39">
        <f>('Financial Statements'!C39/'Financial Statements'!C7)*365</f>
        <v>25.552688039299991</v>
      </c>
      <c r="E11" s="39">
        <f>('Financial Statements'!D39/'Financial Statements'!D7)*365</f>
        <v>30.081539661817608</v>
      </c>
      <c r="F11" s="64"/>
      <c r="G11" t="s">
        <v>154</v>
      </c>
    </row>
    <row r="12" spans="1:11" x14ac:dyDescent="0.25">
      <c r="A12" s="17">
        <f t="shared" si="0"/>
        <v>1.8000000000000007</v>
      </c>
      <c r="B12" s="1" t="s">
        <v>22</v>
      </c>
      <c r="C12" s="39">
        <f>C9+C11-C10</f>
        <v>-53.055182786425107</v>
      </c>
      <c r="D12" s="39">
        <f t="shared" ref="D12:E12" si="1">D9+D11-D10</f>
        <v>-36.129449257647977</v>
      </c>
      <c r="E12" s="39">
        <f t="shared" si="1"/>
        <v>-27.03204925349965</v>
      </c>
      <c r="F12" s="64"/>
      <c r="G12" t="s">
        <v>154</v>
      </c>
    </row>
    <row r="13" spans="1:11" x14ac:dyDescent="0.25">
      <c r="A13" s="17">
        <f t="shared" si="0"/>
        <v>1.9000000000000008</v>
      </c>
      <c r="B13" s="1" t="s">
        <v>23</v>
      </c>
      <c r="C13" s="51">
        <f>C14/'Financial Statements'!B7</f>
        <v>0.1087617597082349</v>
      </c>
      <c r="D13" s="51">
        <f>D14/'Financial Statements'!C7</f>
        <v>9.8371298066076085E-2</v>
      </c>
      <c r="E13" s="51">
        <f>E14/'Financial Statements'!D7</f>
        <v>0.16608915080848977</v>
      </c>
      <c r="F13" s="64"/>
    </row>
    <row r="14" spans="1:11" x14ac:dyDescent="0.25">
      <c r="A14" s="17"/>
      <c r="B14" s="14" t="s">
        <v>24</v>
      </c>
      <c r="C14">
        <f>'Financial Statements'!B38+'Financial Statements'!B39-('Financial Statements'!B40-'Financial Statements'!B52)</f>
        <v>41989</v>
      </c>
      <c r="D14">
        <f>'Financial Statements'!C38+'Financial Statements'!C39-('Financial Statements'!C40-'Financial Statements'!C52)</f>
        <v>46217</v>
      </c>
      <c r="E14">
        <f>'Financial Statements'!D38+'Financial Statements'!D39-('Financial Statements'!D40-'Financial Statements'!D52)</f>
        <v>85367</v>
      </c>
      <c r="F14" s="64"/>
    </row>
    <row r="15" spans="1:11" x14ac:dyDescent="0.25">
      <c r="A15" s="17"/>
      <c r="F15" s="64"/>
    </row>
    <row r="16" spans="1:11" x14ac:dyDescent="0.25">
      <c r="A16" s="17">
        <f>+A4+1</f>
        <v>2</v>
      </c>
      <c r="B16" s="18" t="s">
        <v>25</v>
      </c>
      <c r="F16" s="64"/>
    </row>
    <row r="17" spans="1:10" x14ac:dyDescent="0.25">
      <c r="A17" s="17">
        <f>+A16+0.1</f>
        <v>2.1</v>
      </c>
      <c r="B17" s="1" t="s">
        <v>11</v>
      </c>
      <c r="C17" s="51">
        <f>('Financial Statements'!B7-'Financial Statements'!B9)/'Financial Statements'!B7</f>
        <v>0.3956779186870571</v>
      </c>
      <c r="D17" s="51">
        <f>('Financial Statements'!C7-'Financial Statements'!C9)/'Financial Statements'!C7</f>
        <v>0.42032514441639601</v>
      </c>
      <c r="E17" s="51">
        <f>('Financial Statements'!D7-'Financial Statements'!D9)/'Financial Statements'!D7</f>
        <v>0.43805339865326287</v>
      </c>
      <c r="F17" s="64"/>
    </row>
    <row r="18" spans="1:10" x14ac:dyDescent="0.25">
      <c r="A18" s="17">
        <f>+A17+0.1</f>
        <v>2.2000000000000002</v>
      </c>
      <c r="B18" s="1" t="s">
        <v>26</v>
      </c>
      <c r="C18" s="51">
        <f>C19/'Financial Statements'!B7</f>
        <v>0.13621834721704174</v>
      </c>
      <c r="D18" s="51">
        <f>D19/'Financial Statements'!C7</f>
        <v>0.14029142952011614</v>
      </c>
      <c r="E18" s="51">
        <f>E19/'Financial Statements'!D7</f>
        <v>0.10373689402178671</v>
      </c>
      <c r="F18" s="64"/>
    </row>
    <row r="19" spans="1:10" x14ac:dyDescent="0.25">
      <c r="A19" s="17"/>
      <c r="B19" s="14" t="s">
        <v>27</v>
      </c>
      <c r="C19" s="10">
        <f>'Financial Statements'!F24</f>
        <v>52589</v>
      </c>
      <c r="D19" s="10">
        <f>'Financial Statements'!G24</f>
        <v>65912</v>
      </c>
      <c r="E19" s="10">
        <f>'Financial Statements'!H24</f>
        <v>53319</v>
      </c>
      <c r="F19" s="65" t="s">
        <v>179</v>
      </c>
    </row>
    <row r="20" spans="1:10" x14ac:dyDescent="0.25">
      <c r="A20" s="17">
        <f>+A18+0.1</f>
        <v>2.3000000000000003</v>
      </c>
      <c r="B20" s="1" t="s">
        <v>28</v>
      </c>
      <c r="C20" s="52">
        <f>C21/'Financial Statements'!B7</f>
        <v>7.0996000663102493E-2</v>
      </c>
      <c r="D20" s="52">
        <f>D21/'Financial Statements'!C7</f>
        <v>6.7001970959214341E-2</v>
      </c>
      <c r="E20" s="52">
        <f>E21/'Financial Statements'!D7</f>
        <v>2.2175830718136592E-2</v>
      </c>
      <c r="F20" s="64"/>
    </row>
    <row r="21" spans="1:10" x14ac:dyDescent="0.25">
      <c r="A21" s="17"/>
      <c r="B21" s="14" t="s">
        <v>29</v>
      </c>
      <c r="C21" s="10">
        <f>'Financial Statements'!B16+'Financial Statements'!F22+'Financial Statements'!F18</f>
        <v>27409</v>
      </c>
      <c r="D21" s="10">
        <f>'Financial Statements'!C16+'Financial Statements'!G22+'Financial Statements'!G18</f>
        <v>31479</v>
      </c>
      <c r="E21" s="10">
        <f>'Financial Statements'!D16+'Financial Statements'!H22+'Financial Statements'!H18</f>
        <v>11398</v>
      </c>
      <c r="F21" s="65" t="s">
        <v>180</v>
      </c>
    </row>
    <row r="22" spans="1:10" x14ac:dyDescent="0.25">
      <c r="A22" s="17">
        <f>+A20+0.1</f>
        <v>2.4000000000000004</v>
      </c>
      <c r="B22" s="1" t="s">
        <v>30</v>
      </c>
      <c r="C22" s="52">
        <f>'Financial Statements'!B24/'Financial Statements'!B7</f>
        <v>5.5252496995316841E-2</v>
      </c>
      <c r="D22" s="52">
        <f>'Financial Statements'!C24/'Financial Statements'!C7</f>
        <v>7.1014128755145567E-2</v>
      </c>
      <c r="E22" s="52">
        <f>'Financial Statements'!D24/'Financial Statements'!D7</f>
        <v>5.2958950004183018E-3</v>
      </c>
      <c r="F22" s="64"/>
    </row>
    <row r="23" spans="1:10" x14ac:dyDescent="0.25">
      <c r="A23" s="17"/>
      <c r="F23" s="64"/>
    </row>
    <row r="24" spans="1:10" x14ac:dyDescent="0.25">
      <c r="A24" s="17">
        <f>+A16+1</f>
        <v>3</v>
      </c>
      <c r="B24" s="9" t="s">
        <v>31</v>
      </c>
      <c r="F24" s="64"/>
    </row>
    <row r="25" spans="1:10" x14ac:dyDescent="0.25">
      <c r="A25" s="17">
        <f>+A24+0.1</f>
        <v>3.1</v>
      </c>
      <c r="B25" s="1" t="s">
        <v>32</v>
      </c>
      <c r="C25" s="45">
        <f>'Financial Statements'!B54/'Financial Statements'!B65</f>
        <v>0.34062781037214679</v>
      </c>
      <c r="D25" s="45">
        <f>'Financial Statements'!C54/'Financial Statements'!C65</f>
        <v>0.35259141379435061</v>
      </c>
      <c r="E25" s="45">
        <f>'Financial Statements'!D54/'Financial Statements'!D65</f>
        <v>0.45979608745369516</v>
      </c>
      <c r="F25" s="64"/>
    </row>
    <row r="26" spans="1:10" x14ac:dyDescent="0.25">
      <c r="A26" s="17">
        <f t="shared" ref="A26:A30" si="2">+A25+0.1</f>
        <v>3.2</v>
      </c>
      <c r="B26" s="1" t="s">
        <v>33</v>
      </c>
      <c r="C26" s="45">
        <f>'Financial Statements'!B54/'Financial Statements'!B45</f>
        <v>9.9055091144009094E-2</v>
      </c>
      <c r="D26" s="45">
        <f>'Financial Statements'!C54/'Financial Statements'!C45</f>
        <v>0.11590563763081116</v>
      </c>
      <c r="E26" s="45">
        <f>'Financial Statements'!D54/'Financial Statements'!D45</f>
        <v>0.14513427351812827</v>
      </c>
      <c r="F26" s="64"/>
    </row>
    <row r="27" spans="1:10" x14ac:dyDescent="0.25">
      <c r="A27" s="17">
        <f t="shared" si="2"/>
        <v>3.3000000000000003</v>
      </c>
      <c r="B27" s="1" t="s">
        <v>34</v>
      </c>
      <c r="C27" s="10">
        <f>'Financial Statements'!B54/'Financial Statements'!B65+'Financial Statements'!B54</f>
        <v>31816.340627810372</v>
      </c>
      <c r="D27" s="10">
        <f>'Financial Statements'!C54/'Financial Statements'!C65+'Financial Statements'!C54</f>
        <v>48744.352591413794</v>
      </c>
      <c r="E27" s="10">
        <f>'Financial Statements'!D54/'Financial Statements'!D65+'Financial Statements'!D54</f>
        <v>67150.459796087453</v>
      </c>
      <c r="F27" s="65" t="s">
        <v>181</v>
      </c>
    </row>
    <row r="28" spans="1:10" x14ac:dyDescent="0.25">
      <c r="A28" s="17">
        <f t="shared" si="2"/>
        <v>3.4000000000000004</v>
      </c>
      <c r="B28" s="1" t="s">
        <v>35</v>
      </c>
      <c r="C28" s="45">
        <f>C21/'Financial Statements'!F18</f>
        <v>16.641772920461445</v>
      </c>
      <c r="D28" s="45">
        <f>D21/'Financial Statements'!G18</f>
        <v>17.401326699834161</v>
      </c>
      <c r="E28" s="45">
        <f>E21/'Financial Statements'!H18</f>
        <v>4.8153781157583442</v>
      </c>
      <c r="F28" s="65" t="s">
        <v>182</v>
      </c>
    </row>
    <row r="29" spans="1:10" x14ac:dyDescent="0.25">
      <c r="A29" s="17">
        <f t="shared" si="2"/>
        <v>3.5000000000000004</v>
      </c>
      <c r="B29" s="1" t="s">
        <v>36</v>
      </c>
      <c r="C29" s="49">
        <f>C21/('Financial Statements'!F18-'Financial Statements'!B101-'Financial Statements'!B103)</f>
        <v>2.9230030926735631</v>
      </c>
      <c r="D29" s="49">
        <f>D21/('Financial Statements'!G18-'Financial Statements'!C101-'Financial Statements'!C103)</f>
        <v>2.8227223816355811</v>
      </c>
      <c r="E29" s="49">
        <f>E21/('Financial Statements'!H18-'Financial Statements'!D101-'Financial Statements'!D103)</f>
        <v>0.27679156851793391</v>
      </c>
      <c r="F29" s="64"/>
      <c r="H29" s="49"/>
      <c r="I29" s="49"/>
      <c r="J29" s="49"/>
    </row>
    <row r="30" spans="1:10" x14ac:dyDescent="0.25">
      <c r="A30" s="17">
        <f t="shared" si="2"/>
        <v>3.6000000000000005</v>
      </c>
      <c r="B30" s="1" t="s">
        <v>37</v>
      </c>
      <c r="C30" s="50">
        <f>C31/'Financial Statements'!F59</f>
        <v>11.603280318091452</v>
      </c>
      <c r="D30" s="50">
        <f>D31/'Financial Statements'!G59</f>
        <v>12.414833005893909</v>
      </c>
      <c r="E30" s="50">
        <f>E31/'Financial Statements'!H59</f>
        <v>12.845440343682874</v>
      </c>
      <c r="F30" s="64"/>
    </row>
    <row r="31" spans="1:10" x14ac:dyDescent="0.25">
      <c r="A31" s="17"/>
      <c r="B31" s="14" t="s">
        <v>38</v>
      </c>
      <c r="C31" s="10">
        <f>'Financial Statements'!B90+'Financial Statements'!F42+'Financial Statements'!B102</f>
        <v>116729</v>
      </c>
      <c r="D31" s="10">
        <f>'Financial Statements'!C90+'Financial Statements'!G42+'Financial Statements'!C102</f>
        <v>126383</v>
      </c>
      <c r="E31" s="10">
        <f>'Financial Statements'!D90+'Financial Statements'!H42+'Financial Statements'!D102</f>
        <v>131563</v>
      </c>
      <c r="F31" s="65" t="s">
        <v>183</v>
      </c>
    </row>
    <row r="32" spans="1:10" x14ac:dyDescent="0.25">
      <c r="A32" s="17"/>
      <c r="F32" s="64"/>
    </row>
    <row r="33" spans="1:6" x14ac:dyDescent="0.25">
      <c r="A33" s="17">
        <f>+A24+1</f>
        <v>4</v>
      </c>
      <c r="B33" s="18" t="s">
        <v>39</v>
      </c>
      <c r="F33" s="64"/>
    </row>
    <row r="34" spans="1:6" x14ac:dyDescent="0.25">
      <c r="A34" s="17">
        <f>+A33+0.1</f>
        <v>4.0999999999999996</v>
      </c>
      <c r="B34" s="1" t="s">
        <v>40</v>
      </c>
      <c r="C34" s="45">
        <f>'Financial Statements'!B7/'Financial Statements'!B45</f>
        <v>1.2019614253023865</v>
      </c>
      <c r="D34" s="45">
        <f>'Financial Statements'!C7/'Financial Statements'!C45</f>
        <v>1.1171635172120253</v>
      </c>
      <c r="E34" s="45">
        <f>'Financial Statements'!D7/'Financial Statements'!D45</f>
        <v>1.1108942562273734</v>
      </c>
      <c r="F34" s="64"/>
    </row>
    <row r="35" spans="1:6" x14ac:dyDescent="0.25">
      <c r="A35" s="17">
        <f t="shared" ref="A35:A37" si="3">+A34+0.1</f>
        <v>4.1999999999999993</v>
      </c>
      <c r="B35" s="1" t="s">
        <v>41</v>
      </c>
      <c r="C35" s="45">
        <f>'Financial Statements'!B7/'Financial Statements'!B41</f>
        <v>3.4130523188995174</v>
      </c>
      <c r="D35" s="45">
        <f>'Financial Statements'!C7/'Financial Statements'!C41</f>
        <v>2.9312395106094922</v>
      </c>
      <c r="E35" s="45">
        <f>'Financial Statements'!D7/'Financial Statements'!D41</f>
        <v>2.7527675869640897</v>
      </c>
      <c r="F35" s="65" t="s">
        <v>184</v>
      </c>
    </row>
    <row r="36" spans="1:6" x14ac:dyDescent="0.25">
      <c r="A36" s="17">
        <f t="shared" si="3"/>
        <v>4.2999999999999989</v>
      </c>
      <c r="B36" s="1" t="s">
        <v>42</v>
      </c>
      <c r="C36" s="45">
        <f>'Financial Statements'!B9/'Financial Statements'!B38</f>
        <v>9.8048749737339769</v>
      </c>
      <c r="D36" s="45">
        <f>'Financial Statements'!C9/'Financial Statements'!C38</f>
        <v>8.3438725490196077</v>
      </c>
      <c r="E36" s="45">
        <f>'Financial Statements'!D9/'Financial Statements'!D38</f>
        <v>8.3950297921813686</v>
      </c>
      <c r="F36" s="64"/>
    </row>
    <row r="37" spans="1:6" x14ac:dyDescent="0.25">
      <c r="A37" s="17">
        <f t="shared" si="3"/>
        <v>4.3999999999999986</v>
      </c>
      <c r="B37" s="1" t="s">
        <v>43</v>
      </c>
      <c r="C37" s="52">
        <f>'Financial Statements'!B24/'Financial Statements'!B45</f>
        <v>6.6411370040006856E-2</v>
      </c>
      <c r="D37" s="52">
        <f>'Financial Statements'!C24/'Financial Statements'!C45</f>
        <v>7.9334393851846041E-2</v>
      </c>
      <c r="E37" s="52">
        <f>'Financial Statements'!D24/'Financial Statements'!D45</f>
        <v>5.8831793375479545E-3</v>
      </c>
      <c r="F37" s="64"/>
    </row>
    <row r="38" spans="1:6" x14ac:dyDescent="0.25">
      <c r="A38" s="17"/>
      <c r="F38" s="64"/>
    </row>
    <row r="39" spans="1:6" x14ac:dyDescent="0.25">
      <c r="A39" s="17">
        <f>+A33+1</f>
        <v>5</v>
      </c>
      <c r="B39" s="18" t="s">
        <v>44</v>
      </c>
      <c r="F39" s="64"/>
    </row>
    <row r="40" spans="1:6" x14ac:dyDescent="0.25">
      <c r="A40" s="17">
        <f>+A39+0.1</f>
        <v>5.0999999999999996</v>
      </c>
      <c r="B40" s="1" t="s">
        <v>45</v>
      </c>
      <c r="C40" s="45">
        <f>'Financial Statements'!F64/'List of Ratios'!C41</f>
        <v>77.918660287081337</v>
      </c>
      <c r="D40" s="45">
        <f>'Financial Statements'!G64/'List of Ratios'!D41</f>
        <v>51.456790123456784</v>
      </c>
      <c r="E40" s="45">
        <f>'Financial Statements'!H64/'List of Ratios'!E41</f>
        <v>-318.81481481481478</v>
      </c>
      <c r="F40" s="64"/>
    </row>
    <row r="41" spans="1:6" x14ac:dyDescent="0.25">
      <c r="A41" s="17">
        <f t="shared" ref="A41:A44" si="4">+A40+0.1</f>
        <v>5.1999999999999993</v>
      </c>
      <c r="B41" s="14" t="s">
        <v>46</v>
      </c>
      <c r="C41">
        <f>'Financial Statements'!B26</f>
        <v>2.09</v>
      </c>
      <c r="D41">
        <f>'Financial Statements'!C26</f>
        <v>3.24</v>
      </c>
      <c r="E41">
        <f>'Financial Statements'!D26</f>
        <v>-0.27</v>
      </c>
      <c r="F41" s="64"/>
    </row>
    <row r="42" spans="1:6" x14ac:dyDescent="0.25">
      <c r="A42" s="17">
        <f t="shared" si="4"/>
        <v>5.2999999999999989</v>
      </c>
      <c r="B42" s="1" t="s">
        <v>47</v>
      </c>
      <c r="C42" s="49">
        <f>'Financial Statements'!F64/'List of Ratios'!C43</f>
        <v>17.53962357072502</v>
      </c>
      <c r="D42" s="49">
        <f>'Financial Statements'!G64/'List of Ratios'!D43</f>
        <v>12.276824478281313</v>
      </c>
      <c r="E42" s="49">
        <f>'Financial Statements'!H64/'List of Ratios'!E43</f>
        <v>6.0367929993221177</v>
      </c>
      <c r="F42" s="64"/>
    </row>
    <row r="43" spans="1:6" x14ac:dyDescent="0.25">
      <c r="A43" s="17">
        <f t="shared" si="4"/>
        <v>5.3999999999999986</v>
      </c>
      <c r="B43" s="14" t="s">
        <v>48</v>
      </c>
      <c r="C43" s="49">
        <f>'Financial Statements'!B65/'Financial Statements'!F59</f>
        <v>9.2846918489065615</v>
      </c>
      <c r="D43" s="49">
        <f>'Financial Statements'!C65/'Financial Statements'!G59</f>
        <v>13.580058939096267</v>
      </c>
      <c r="E43" s="49">
        <f>'Financial Statements'!D65/'Financial Statements'!H59</f>
        <v>14.259226713532513</v>
      </c>
      <c r="F43" s="65" t="s">
        <v>185</v>
      </c>
    </row>
    <row r="44" spans="1:6" x14ac:dyDescent="0.25">
      <c r="A44" s="17">
        <f t="shared" si="4"/>
        <v>5.4999999999999982</v>
      </c>
      <c r="B44" s="1" t="s">
        <v>49</v>
      </c>
      <c r="C44" t="str">
        <f>C45</f>
        <v>N/A</v>
      </c>
      <c r="D44" t="str">
        <f>D45</f>
        <v>N/A</v>
      </c>
      <c r="E44" t="str">
        <f>E45</f>
        <v>N/A</v>
      </c>
      <c r="F44" s="64"/>
    </row>
    <row r="45" spans="1:6" x14ac:dyDescent="0.25">
      <c r="A45" s="17"/>
      <c r="B45" s="14" t="s">
        <v>50</v>
      </c>
      <c r="C45" t="s">
        <v>159</v>
      </c>
      <c r="D45" t="str">
        <f>C45</f>
        <v>N/A</v>
      </c>
      <c r="E45" t="str">
        <f>D45</f>
        <v>N/A</v>
      </c>
      <c r="F45" s="64"/>
    </row>
    <row r="46" spans="1:6" x14ac:dyDescent="0.25">
      <c r="A46" s="17">
        <f>+A44+0.1</f>
        <v>5.5999999999999979</v>
      </c>
      <c r="B46" s="1" t="s">
        <v>51</v>
      </c>
      <c r="C46" t="s">
        <v>159</v>
      </c>
      <c r="D46" t="str">
        <f>C46</f>
        <v>N/A</v>
      </c>
      <c r="E46" t="str">
        <f>D46</f>
        <v>N/A</v>
      </c>
      <c r="F46" s="64"/>
    </row>
    <row r="47" spans="1:6" x14ac:dyDescent="0.25">
      <c r="A47" s="17">
        <f t="shared" ref="A47:A50" si="5">+A45+0.1</f>
        <v>0.1</v>
      </c>
      <c r="B47" s="1" t="s">
        <v>52</v>
      </c>
      <c r="C47" s="51">
        <f>'Financial Statements'!B24/'Financial Statements'!B65</f>
        <v>0.22837351719412444</v>
      </c>
      <c r="D47" s="51">
        <f>'Financial Statements'!C24/'Financial Statements'!C65</f>
        <v>0.2413396506202756</v>
      </c>
      <c r="E47" s="51">
        <f>'Financial Statements'!D24/'Financial Statements'!D65</f>
        <v>1.8638346240490815E-2</v>
      </c>
      <c r="F47" s="64"/>
    </row>
    <row r="48" spans="1:6" x14ac:dyDescent="0.25">
      <c r="A48" s="17">
        <f t="shared" si="5"/>
        <v>5.6999999999999975</v>
      </c>
      <c r="B48" s="1" t="s">
        <v>53</v>
      </c>
      <c r="C48" s="51">
        <f>C21/'Financial Statements'!F65</f>
        <v>0.21888675930362561</v>
      </c>
      <c r="D48" s="51">
        <f>D21/'Financial Statements'!G65</f>
        <v>0.16834680114873068</v>
      </c>
      <c r="E48" s="51">
        <f>E21/'Financial Statements'!H65</f>
        <v>5.3463293822967918E-2</v>
      </c>
      <c r="F48" s="64"/>
    </row>
    <row r="49" spans="1:11" x14ac:dyDescent="0.25">
      <c r="A49" s="17">
        <f t="shared" si="5"/>
        <v>0.2</v>
      </c>
      <c r="B49" s="1" t="s">
        <v>43</v>
      </c>
      <c r="C49" s="51">
        <f>'Financial Statements'!B24/'Financial Statements'!B45</f>
        <v>6.6411370040006856E-2</v>
      </c>
      <c r="D49" s="51">
        <f>'Financial Statements'!C24/'Financial Statements'!C45</f>
        <v>7.9334393851846041E-2</v>
      </c>
      <c r="E49" s="51">
        <f>'Financial Statements'!D24/'Financial Statements'!D45</f>
        <v>5.8831793375479545E-3</v>
      </c>
      <c r="F49" s="64"/>
    </row>
    <row r="50" spans="1:11" x14ac:dyDescent="0.25">
      <c r="A50" s="17">
        <f t="shared" si="5"/>
        <v>5.7999999999999972</v>
      </c>
      <c r="B50" s="1" t="s">
        <v>54</v>
      </c>
      <c r="C50" s="45">
        <f>C51/C19</f>
        <v>30.956378710376693</v>
      </c>
      <c r="D50" s="45">
        <f t="shared" ref="D50:E50" si="6">D51/D19</f>
        <v>25.939640733098678</v>
      </c>
      <c r="E50" s="45">
        <f t="shared" si="6"/>
        <v>16.783761135805246</v>
      </c>
      <c r="F50" s="64"/>
    </row>
    <row r="51" spans="1:11" x14ac:dyDescent="0.25">
      <c r="A51" s="17"/>
      <c r="B51" s="14" t="s">
        <v>55</v>
      </c>
      <c r="C51" s="10">
        <f>'Financial Statements'!F60+'Financial Statements'!B54-'Financial Statements'!B36</f>
        <v>1627965</v>
      </c>
      <c r="D51" s="10">
        <f>'Financial Statements'!G60+'Financial Statements'!C54-'Financial Statements'!C36</f>
        <v>1709733.6</v>
      </c>
      <c r="E51" s="10">
        <f>'Financial Statements'!H60+'Financial Statements'!D54-'Financial Statements'!D36</f>
        <v>894893.36</v>
      </c>
      <c r="F51" s="65" t="s">
        <v>185</v>
      </c>
    </row>
    <row r="52" spans="1:11" x14ac:dyDescent="0.25">
      <c r="A52" s="17"/>
      <c r="B52" s="14"/>
      <c r="C52" s="10"/>
      <c r="D52" s="10"/>
      <c r="E52" s="10"/>
      <c r="F52" s="64"/>
    </row>
    <row r="53" spans="1:11" x14ac:dyDescent="0.25">
      <c r="F53" s="64"/>
      <c r="H53" s="60" t="s">
        <v>162</v>
      </c>
      <c r="I53" s="60"/>
    </row>
    <row r="54" spans="1:11" x14ac:dyDescent="0.25">
      <c r="B54" s="21" t="s">
        <v>163</v>
      </c>
      <c r="C54" s="56">
        <v>2020</v>
      </c>
      <c r="D54" s="56">
        <v>2021</v>
      </c>
      <c r="E54" s="56">
        <v>2022</v>
      </c>
      <c r="F54" s="63"/>
      <c r="G54" s="55"/>
      <c r="H54" s="56">
        <v>2021</v>
      </c>
      <c r="I54" s="56">
        <v>2022</v>
      </c>
      <c r="K54" s="54" t="s">
        <v>164</v>
      </c>
    </row>
    <row r="55" spans="1:11" x14ac:dyDescent="0.25">
      <c r="B55" t="s">
        <v>165</v>
      </c>
      <c r="C55" s="29">
        <v>386064</v>
      </c>
      <c r="D55" s="29">
        <v>469822</v>
      </c>
      <c r="E55" s="29">
        <v>513983</v>
      </c>
      <c r="F55" s="64"/>
      <c r="H55" s="51">
        <f>(D55-C55)/C55</f>
        <v>0.21695366571345684</v>
      </c>
      <c r="I55" s="51">
        <f>(E55-D55)/D55</f>
        <v>9.3995172639850841E-2</v>
      </c>
      <c r="K55" s="57">
        <f>AVERAGE(H55:I55)</f>
        <v>0.15547441917665383</v>
      </c>
    </row>
    <row r="56" spans="1:11" x14ac:dyDescent="0.25">
      <c r="B56" t="s">
        <v>166</v>
      </c>
      <c r="C56" s="47">
        <f>C55-'Financial Statements'!B9</f>
        <v>152757</v>
      </c>
      <c r="D56" s="47">
        <f>D55-'Financial Statements'!C9</f>
        <v>197478</v>
      </c>
      <c r="E56" s="47">
        <f>E55-'Financial Statements'!D9</f>
        <v>225152</v>
      </c>
      <c r="F56" s="64"/>
      <c r="H56" s="51">
        <f>(D56-C56)/C56</f>
        <v>0.29275908796323574</v>
      </c>
      <c r="I56" s="51">
        <f>(E56-D56)/D56</f>
        <v>0.14013712919920193</v>
      </c>
      <c r="K56" s="57">
        <f t="shared" ref="K56:K74" si="7">AVERAGE(H56:I56)</f>
        <v>0.21644810858121882</v>
      </c>
    </row>
    <row r="57" spans="1:11" x14ac:dyDescent="0.25">
      <c r="F57" s="64"/>
      <c r="H57" s="51"/>
      <c r="I57" s="51"/>
      <c r="K57" s="57"/>
    </row>
    <row r="58" spans="1:11" x14ac:dyDescent="0.25">
      <c r="B58" t="str">
        <f>'Financial Statements'!A9</f>
        <v>Cost of sales</v>
      </c>
      <c r="C58" s="10">
        <f>'Financial Statements'!B9</f>
        <v>233307</v>
      </c>
      <c r="D58" s="10">
        <f>'Financial Statements'!C9</f>
        <v>272344</v>
      </c>
      <c r="E58" s="10">
        <f>'Financial Statements'!D9</f>
        <v>288831</v>
      </c>
      <c r="F58" s="64"/>
      <c r="H58" s="51">
        <f t="shared" ref="H58:H74" si="8">(D58-C58)/C58</f>
        <v>0.16732031186376747</v>
      </c>
      <c r="I58" s="51">
        <f t="shared" ref="I58:I74" si="9">(E58-D58)/D58</f>
        <v>6.0537408571512498E-2</v>
      </c>
      <c r="K58" s="57">
        <f t="shared" si="7"/>
        <v>0.11392886021763998</v>
      </c>
    </row>
    <row r="59" spans="1:11" x14ac:dyDescent="0.25">
      <c r="B59" t="str">
        <f>'Financial Statements'!A10</f>
        <v>Fulfilment</v>
      </c>
      <c r="C59" s="10">
        <f>'Financial Statements'!B10</f>
        <v>58517</v>
      </c>
      <c r="D59" s="10">
        <f>'Financial Statements'!C10</f>
        <v>75111</v>
      </c>
      <c r="E59" s="10">
        <f>'Financial Statements'!D10</f>
        <v>84299</v>
      </c>
      <c r="F59" s="64"/>
      <c r="H59" s="51">
        <f t="shared" si="8"/>
        <v>0.28357571304065488</v>
      </c>
      <c r="I59" s="51">
        <f t="shared" si="9"/>
        <v>0.12232562474204843</v>
      </c>
      <c r="K59" s="57">
        <f t="shared" si="7"/>
        <v>0.20295066889135166</v>
      </c>
    </row>
    <row r="60" spans="1:11" x14ac:dyDescent="0.25">
      <c r="B60" t="str">
        <f>'Financial Statements'!A11</f>
        <v>Technology and content</v>
      </c>
      <c r="C60" s="10">
        <f>'Financial Statements'!B11</f>
        <v>42740</v>
      </c>
      <c r="D60" s="10">
        <f>'Financial Statements'!C11</f>
        <v>56052</v>
      </c>
      <c r="E60" s="10">
        <f>'Financial Statements'!D11</f>
        <v>73213</v>
      </c>
      <c r="F60" s="64"/>
      <c r="H60" s="51">
        <f t="shared" si="8"/>
        <v>0.31146467009826861</v>
      </c>
      <c r="I60" s="51">
        <f t="shared" si="9"/>
        <v>0.3061621351602084</v>
      </c>
      <c r="K60" s="57">
        <f t="shared" si="7"/>
        <v>0.30881340262923851</v>
      </c>
    </row>
    <row r="61" spans="1:11" x14ac:dyDescent="0.25">
      <c r="B61" t="str">
        <f>'Financial Statements'!A12</f>
        <v>Sales and marketing</v>
      </c>
      <c r="C61" s="10">
        <f>'Financial Statements'!B12</f>
        <v>22008</v>
      </c>
      <c r="D61" s="10">
        <f>'Financial Statements'!C12</f>
        <v>32551</v>
      </c>
      <c r="E61" s="10">
        <f>'Financial Statements'!D12</f>
        <v>42238</v>
      </c>
      <c r="F61" s="64"/>
      <c r="H61" s="51">
        <f t="shared" si="8"/>
        <v>0.47905307161032351</v>
      </c>
      <c r="I61" s="51">
        <f t="shared" si="9"/>
        <v>0.29759454394642254</v>
      </c>
      <c r="K61" s="57">
        <f t="shared" si="7"/>
        <v>0.38832380777837305</v>
      </c>
    </row>
    <row r="62" spans="1:11" x14ac:dyDescent="0.25">
      <c r="B62" t="str">
        <f>'Financial Statements'!A13</f>
        <v>General and administrative</v>
      </c>
      <c r="C62" s="10">
        <f>'Financial Statements'!B13</f>
        <v>6668</v>
      </c>
      <c r="D62" s="10">
        <f>'Financial Statements'!C13</f>
        <v>8823</v>
      </c>
      <c r="E62" s="10">
        <f>'Financial Statements'!D13</f>
        <v>11891</v>
      </c>
      <c r="F62" s="64"/>
      <c r="H62" s="51">
        <f t="shared" si="8"/>
        <v>0.32318536292741451</v>
      </c>
      <c r="I62" s="51">
        <f t="shared" si="9"/>
        <v>0.3477275303184858</v>
      </c>
      <c r="K62" s="57">
        <f t="shared" si="7"/>
        <v>0.33545644662295016</v>
      </c>
    </row>
    <row r="63" spans="1:11" x14ac:dyDescent="0.25">
      <c r="B63" t="str">
        <f>'Financial Statements'!A14</f>
        <v>Other operating expense (Income) net</v>
      </c>
      <c r="C63" s="10">
        <f>'Financial Statements'!B14</f>
        <v>-75</v>
      </c>
      <c r="D63" s="10">
        <f>'Financial Statements'!C14</f>
        <v>62</v>
      </c>
      <c r="E63" s="10">
        <f>'Financial Statements'!D14</f>
        <v>1263</v>
      </c>
      <c r="F63" s="64"/>
      <c r="H63" s="51">
        <f t="shared" si="8"/>
        <v>-1.8266666666666667</v>
      </c>
      <c r="I63" s="51">
        <f t="shared" si="9"/>
        <v>19.370967741935484</v>
      </c>
      <c r="K63" s="57">
        <f t="shared" si="7"/>
        <v>8.772150537634408</v>
      </c>
    </row>
    <row r="64" spans="1:11" x14ac:dyDescent="0.25">
      <c r="F64" s="64"/>
      <c r="H64" s="51"/>
      <c r="I64" s="51"/>
      <c r="K64" s="57"/>
    </row>
    <row r="65" spans="2:11" x14ac:dyDescent="0.25">
      <c r="B65" t="str">
        <f>'Financial Statements'!A40</f>
        <v>Total current assets</v>
      </c>
      <c r="C65" s="10">
        <f>'Financial Statements'!B40</f>
        <v>132733</v>
      </c>
      <c r="D65" s="10">
        <f>'Financial Statements'!C40</f>
        <v>161580</v>
      </c>
      <c r="E65" s="10">
        <f>'Financial Statements'!D40</f>
        <v>146791</v>
      </c>
      <c r="F65" s="64"/>
      <c r="H65" s="51">
        <f t="shared" si="8"/>
        <v>0.21733103297597434</v>
      </c>
      <c r="I65" s="51">
        <f t="shared" si="9"/>
        <v>-9.1527416759499935E-2</v>
      </c>
      <c r="K65" s="57">
        <f t="shared" si="7"/>
        <v>6.29018081082372E-2</v>
      </c>
    </row>
    <row r="66" spans="2:11" x14ac:dyDescent="0.25">
      <c r="B66" t="s">
        <v>168</v>
      </c>
      <c r="C66" s="10">
        <f>SUM('Financial Statements'!B41:B44)</f>
        <v>188462</v>
      </c>
      <c r="D66" s="10">
        <f>SUM('Financial Statements'!C41:C44)</f>
        <v>258969</v>
      </c>
      <c r="E66" s="10">
        <f>SUM('Financial Statements'!D41:D44)</f>
        <v>315884</v>
      </c>
      <c r="F66" s="64"/>
      <c r="H66" s="51">
        <f t="shared" si="8"/>
        <v>0.37411785930320168</v>
      </c>
      <c r="I66" s="51">
        <f t="shared" si="9"/>
        <v>0.21977533990554854</v>
      </c>
      <c r="K66" s="57">
        <f t="shared" si="7"/>
        <v>0.29694659960437508</v>
      </c>
    </row>
    <row r="67" spans="2:11" x14ac:dyDescent="0.25">
      <c r="B67" t="str">
        <f>'Financial Statements'!A45</f>
        <v>Total assets</v>
      </c>
      <c r="C67" s="47">
        <f>C65+C66</f>
        <v>321195</v>
      </c>
      <c r="D67" s="47">
        <f t="shared" ref="D67:E67" si="10">D65+D66</f>
        <v>420549</v>
      </c>
      <c r="E67" s="47">
        <f t="shared" si="10"/>
        <v>462675</v>
      </c>
      <c r="F67" s="64"/>
      <c r="H67" s="51">
        <f t="shared" si="8"/>
        <v>0.30932611030682294</v>
      </c>
      <c r="I67" s="51">
        <f t="shared" si="9"/>
        <v>0.10016906472254125</v>
      </c>
      <c r="K67" s="57">
        <f t="shared" si="7"/>
        <v>0.20474758751468208</v>
      </c>
    </row>
    <row r="68" spans="2:11" x14ac:dyDescent="0.25">
      <c r="F68" s="64"/>
      <c r="H68" s="51"/>
      <c r="I68" s="51"/>
      <c r="K68" s="57"/>
    </row>
    <row r="69" spans="2:11" x14ac:dyDescent="0.25">
      <c r="B69" t="str">
        <f>'Financial Statements'!A52</f>
        <v>Total current liabilities</v>
      </c>
      <c r="C69" s="10">
        <f>'Financial Statements'!B52</f>
        <v>126385</v>
      </c>
      <c r="D69" s="10">
        <f>'Financial Statements'!C52</f>
        <v>142266</v>
      </c>
      <c r="E69" s="10">
        <f>'Financial Statements'!D52</f>
        <v>155393</v>
      </c>
      <c r="F69" s="64"/>
      <c r="H69" s="51">
        <f t="shared" si="8"/>
        <v>0.12565573446215927</v>
      </c>
      <c r="I69" s="51">
        <f t="shared" si="9"/>
        <v>9.2270816639253225E-2</v>
      </c>
      <c r="K69" s="57">
        <f t="shared" si="7"/>
        <v>0.10896327555070626</v>
      </c>
    </row>
    <row r="70" spans="2:11" x14ac:dyDescent="0.25">
      <c r="B70" t="s">
        <v>167</v>
      </c>
      <c r="C70" s="10">
        <f>SUM('Financial Statements'!B53:B55)</f>
        <v>101406</v>
      </c>
      <c r="D70" s="10">
        <f>SUM('Financial Statements'!C53:C55)</f>
        <v>140038</v>
      </c>
      <c r="E70" s="10">
        <f>SUM('Financial Statements'!D53:D55)</f>
        <v>161239</v>
      </c>
      <c r="F70" s="64"/>
      <c r="H70" s="51">
        <f t="shared" si="8"/>
        <v>0.38096365106601188</v>
      </c>
      <c r="I70" s="51">
        <f t="shared" si="9"/>
        <v>0.15139462145988947</v>
      </c>
      <c r="K70" s="57">
        <f t="shared" si="7"/>
        <v>0.26617913626295064</v>
      </c>
    </row>
    <row r="71" spans="2:11" x14ac:dyDescent="0.25">
      <c r="B71" t="s">
        <v>169</v>
      </c>
      <c r="C71" s="47">
        <f>C69+C70</f>
        <v>227791</v>
      </c>
      <c r="D71" s="47">
        <f t="shared" ref="D71:E71" si="11">D69+D70</f>
        <v>282304</v>
      </c>
      <c r="E71" s="47">
        <f t="shared" si="11"/>
        <v>316632</v>
      </c>
      <c r="F71" s="64"/>
      <c r="H71" s="51">
        <f t="shared" si="8"/>
        <v>0.23931147411442946</v>
      </c>
      <c r="I71" s="51">
        <f t="shared" si="9"/>
        <v>0.12159941056449784</v>
      </c>
      <c r="K71" s="57">
        <f t="shared" si="7"/>
        <v>0.18045544233946365</v>
      </c>
    </row>
    <row r="72" spans="2:11" x14ac:dyDescent="0.25">
      <c r="F72" s="64"/>
      <c r="H72" s="51"/>
      <c r="I72" s="51"/>
      <c r="K72" s="57"/>
    </row>
    <row r="73" spans="2:11" x14ac:dyDescent="0.25">
      <c r="B73" t="str">
        <f>'Financial Statements'!A65</f>
        <v>Total stockholders' equity</v>
      </c>
      <c r="C73" s="10">
        <f>'Financial Statements'!B65</f>
        <v>93404</v>
      </c>
      <c r="D73" s="10">
        <f>SUM('Financial Statements'!C58:C64)</f>
        <v>148425</v>
      </c>
      <c r="E73" s="10">
        <f>SUM('Financial Statements'!D58:D64)</f>
        <v>156285</v>
      </c>
      <c r="F73" s="64"/>
      <c r="G73" s="10"/>
      <c r="H73" s="51">
        <f t="shared" si="8"/>
        <v>0.58906470814954393</v>
      </c>
      <c r="I73" s="51">
        <f t="shared" si="9"/>
        <v>5.2956038403233957E-2</v>
      </c>
      <c r="K73" s="57">
        <f t="shared" si="7"/>
        <v>0.32101037327638893</v>
      </c>
    </row>
    <row r="74" spans="2:11" x14ac:dyDescent="0.25">
      <c r="B74" t="str">
        <f>'Financial Statements'!A66</f>
        <v>Total liabilities and stockholders' equity</v>
      </c>
      <c r="C74" s="47">
        <f>C71+C73</f>
        <v>321195</v>
      </c>
      <c r="D74" s="47">
        <f t="shared" ref="D74:E74" si="12">D71+D73</f>
        <v>430729</v>
      </c>
      <c r="E74" s="47">
        <f t="shared" si="12"/>
        <v>472917</v>
      </c>
      <c r="F74" s="64"/>
      <c r="H74" s="51">
        <f t="shared" si="8"/>
        <v>0.3410202524945905</v>
      </c>
      <c r="I74" s="51">
        <f t="shared" si="9"/>
        <v>9.7945575988614655E-2</v>
      </c>
      <c r="K74" s="57">
        <f t="shared" si="7"/>
        <v>0.21948291424160257</v>
      </c>
    </row>
    <row r="75" spans="2:11" x14ac:dyDescent="0.25">
      <c r="F75" s="64"/>
    </row>
    <row r="76" spans="2:11" x14ac:dyDescent="0.25">
      <c r="F76" s="64"/>
      <c r="H76" s="60"/>
      <c r="I76" s="60"/>
    </row>
    <row r="77" spans="2:11" x14ac:dyDescent="0.25">
      <c r="B77" s="9" t="s">
        <v>170</v>
      </c>
      <c r="C77" s="56">
        <v>2020</v>
      </c>
      <c r="D77" s="56">
        <v>2021</v>
      </c>
      <c r="E77" s="56">
        <v>2022</v>
      </c>
      <c r="F77" s="63"/>
      <c r="G77" s="55"/>
      <c r="H77" s="53"/>
      <c r="I77" s="53"/>
      <c r="K77" s="9"/>
    </row>
    <row r="78" spans="2:11" x14ac:dyDescent="0.25">
      <c r="B78" t="s">
        <v>171</v>
      </c>
      <c r="C78" s="51">
        <f>C58/C55</f>
        <v>0.60432208131294296</v>
      </c>
      <c r="D78" s="51">
        <f t="shared" ref="D78:E78" si="13">D58/D55</f>
        <v>0.57967485558360399</v>
      </c>
      <c r="E78" s="51">
        <f t="shared" si="13"/>
        <v>0.56194660134673713</v>
      </c>
      <c r="F78" s="64"/>
    </row>
    <row r="79" spans="2:11" x14ac:dyDescent="0.25">
      <c r="B79" t="s">
        <v>172</v>
      </c>
      <c r="C79" s="51">
        <f>C56/C55</f>
        <v>0.3956779186870571</v>
      </c>
      <c r="D79" s="51">
        <f t="shared" ref="D79:E79" si="14">D56/D55</f>
        <v>0.42032514441639601</v>
      </c>
      <c r="E79" s="51">
        <f t="shared" si="14"/>
        <v>0.43805339865326287</v>
      </c>
      <c r="F79" s="64"/>
    </row>
    <row r="80" spans="2:11" x14ac:dyDescent="0.25">
      <c r="B80" t="s">
        <v>68</v>
      </c>
      <c r="C80" s="51">
        <f>C59/C55</f>
        <v>0.15157331426913673</v>
      </c>
      <c r="D80" s="51">
        <f t="shared" ref="D80:E80" si="15">D59/D55</f>
        <v>0.15987118525739535</v>
      </c>
      <c r="E80" s="51">
        <f t="shared" si="15"/>
        <v>0.16401126107283703</v>
      </c>
      <c r="F80" s="64"/>
    </row>
    <row r="81" spans="2:6" x14ac:dyDescent="0.25">
      <c r="B81" t="s">
        <v>69</v>
      </c>
      <c r="C81" s="51">
        <f>C60/C55</f>
        <v>0.11070703303079282</v>
      </c>
      <c r="D81" s="51">
        <f t="shared" ref="D81:E81" si="16">D60/D55</f>
        <v>0.11930475797216818</v>
      </c>
      <c r="E81" s="51">
        <f t="shared" si="16"/>
        <v>0.14244245432241923</v>
      </c>
      <c r="F81" s="64"/>
    </row>
    <row r="82" spans="2:6" x14ac:dyDescent="0.25">
      <c r="B82" t="s">
        <v>70</v>
      </c>
      <c r="C82" s="51">
        <f>C61/C55</f>
        <v>5.7006092254134028E-2</v>
      </c>
      <c r="D82" s="51">
        <f t="shared" ref="D82:E82" si="17">D61/D55</f>
        <v>6.9283686161993263E-2</v>
      </c>
      <c r="E82" s="51">
        <f t="shared" si="17"/>
        <v>8.2177815219569517E-2</v>
      </c>
      <c r="F82" s="64"/>
    </row>
    <row r="83" spans="2:6" x14ac:dyDescent="0.25">
      <c r="B83" t="s">
        <v>71</v>
      </c>
      <c r="C83" s="51">
        <f>C62/C55</f>
        <v>1.7271747689502258E-2</v>
      </c>
      <c r="D83" s="51">
        <f t="shared" ref="D83:E83" si="18">D62/D55</f>
        <v>1.8779452643767215E-2</v>
      </c>
      <c r="E83" s="51">
        <f t="shared" si="18"/>
        <v>2.3135006410717866E-2</v>
      </c>
      <c r="F83" s="64"/>
    </row>
    <row r="84" spans="2:6" x14ac:dyDescent="0.25">
      <c r="B84" t="s">
        <v>72</v>
      </c>
      <c r="C84" s="52">
        <f>C63/C55</f>
        <v>-1.9426830784533136E-4</v>
      </c>
      <c r="D84" s="52">
        <f t="shared" ref="D84:E84" si="19">D63/D55</f>
        <v>1.3196487180251244E-4</v>
      </c>
      <c r="E84" s="52">
        <f t="shared" si="19"/>
        <v>2.4572797154769712E-3</v>
      </c>
      <c r="F84" s="64"/>
    </row>
    <row r="85" spans="2:6" x14ac:dyDescent="0.25">
      <c r="B85" t="s">
        <v>74</v>
      </c>
      <c r="C85" s="51">
        <f>'Financial Statements'!B16/'Financial Statements'!B7</f>
        <v>5.9313999751336569E-2</v>
      </c>
      <c r="D85" s="51">
        <f>'Financial Statements'!C16/'Financial Statements'!C7</f>
        <v>5.2954097509269465E-2</v>
      </c>
      <c r="E85" s="51">
        <f>'Financial Statements'!D16/'Financial Statements'!D7</f>
        <v>2.3829581912242232E-2</v>
      </c>
      <c r="F85" s="64"/>
    </row>
    <row r="86" spans="2:6" x14ac:dyDescent="0.25">
      <c r="B86" t="s">
        <v>173</v>
      </c>
      <c r="C86" s="51">
        <f>'Financial Statements'!B24/'Financial Statements'!B7</f>
        <v>5.5252496995316841E-2</v>
      </c>
      <c r="D86" s="51">
        <f>'Financial Statements'!C24/'Financial Statements'!C7</f>
        <v>7.1014128755145567E-2</v>
      </c>
      <c r="E86" s="51">
        <f>'Financial Statements'!D24/'Financial Statements'!D7</f>
        <v>5.2958950004183018E-3</v>
      </c>
      <c r="F86" s="64"/>
    </row>
    <row r="87" spans="2:6" x14ac:dyDescent="0.25">
      <c r="F87" s="64"/>
    </row>
    <row r="88" spans="2:6" x14ac:dyDescent="0.25">
      <c r="F88" s="64"/>
    </row>
    <row r="89" spans="2:6" x14ac:dyDescent="0.25">
      <c r="B89" s="9" t="s">
        <v>174</v>
      </c>
      <c r="C89" s="56">
        <v>2020</v>
      </c>
      <c r="D89" s="56">
        <v>2021</v>
      </c>
      <c r="E89" s="56">
        <v>2022</v>
      </c>
      <c r="F89" s="63"/>
    </row>
    <row r="90" spans="2:6" x14ac:dyDescent="0.25">
      <c r="B90" t="s">
        <v>175</v>
      </c>
      <c r="C90" s="51">
        <f>-'Financial Statements'!B22/'Financial Statements'!B21</f>
        <v>0.1184134337000579</v>
      </c>
      <c r="D90" s="51">
        <f>-'Financial Statements'!C22/'Financial Statements'!C21</f>
        <v>0.12557993237398757</v>
      </c>
      <c r="E90" s="51">
        <f>-'Financial Statements'!D22/'Financial Statements'!D21</f>
        <v>0.54194743935309975</v>
      </c>
      <c r="F90" s="64"/>
    </row>
    <row r="91" spans="2:6" x14ac:dyDescent="0.25">
      <c r="B91" t="s">
        <v>176</v>
      </c>
      <c r="C91" s="51">
        <f>'Financial Statements'!F42/'Financial Statements'!B7</f>
        <v>0.10397239835882134</v>
      </c>
      <c r="D91" s="51">
        <f>'Financial Statements'!G42/'Financial Statements'!C7</f>
        <v>0.12994921480901278</v>
      </c>
      <c r="E91" s="51">
        <f>'Financial Statements'!H42/'Financial Statements'!D7</f>
        <v>0.12382705264571008</v>
      </c>
      <c r="F91" s="65" t="s">
        <v>186</v>
      </c>
    </row>
    <row r="92" spans="2:6" x14ac:dyDescent="0.25">
      <c r="B92" t="s">
        <v>177</v>
      </c>
      <c r="C92" s="51">
        <f>'Financial Statements'!F42/'List of Ratios'!C66</f>
        <v>0.21298723350065266</v>
      </c>
      <c r="D92" s="51">
        <f>'Financial Statements'!G42/'List of Ratios'!D66</f>
        <v>0.23575408639644127</v>
      </c>
      <c r="E92" s="51">
        <f>'Financial Statements'!H42/'List of Ratios'!E66</f>
        <v>0.20148218966456041</v>
      </c>
      <c r="F92" s="65" t="s">
        <v>186</v>
      </c>
    </row>
  </sheetData>
  <mergeCells count="3">
    <mergeCell ref="C2:E2"/>
    <mergeCell ref="H53:I53"/>
    <mergeCell ref="H76:I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Berkay Cetinkaya</cp:lastModifiedBy>
  <dcterms:created xsi:type="dcterms:W3CDTF">2020-05-19T16:15:53Z</dcterms:created>
  <dcterms:modified xsi:type="dcterms:W3CDTF">2024-01-26T15:25:08Z</dcterms:modified>
</cp:coreProperties>
</file>