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rshah\Downloads\Quill\"/>
    </mc:Choice>
  </mc:AlternateContent>
  <xr:revisionPtr revIDLastSave="0" documentId="13_ncr:1_{AFE37785-B695-43DF-8D35-2C4F33D356CC}" xr6:coauthVersionLast="47" xr6:coauthVersionMax="47" xr10:uidLastSave="{00000000-0000-0000-0000-000000000000}"/>
  <bookViews>
    <workbookView xWindow="-108" yWindow="-108" windowWidth="23256" windowHeight="12456" firstSheet="5" activeTab="6" xr2:uid="{00000000-000D-0000-FFFF-FFFF00000000}"/>
  </bookViews>
  <sheets>
    <sheet name="Sheet1" sheetId="2" r:id="rId1"/>
    <sheet name="Historicals" sheetId="1" state="hidden" r:id="rId2"/>
    <sheet name="Segmental forecast" sheetId="3" state="hidden" r:id="rId3"/>
    <sheet name="Three Statements" sheetId="4" state="hidden" r:id="rId4"/>
    <sheet name="Historicals (2)" sheetId="5" r:id="rId5"/>
    <sheet name="Segmental forecast (2)" sheetId="6" r:id="rId6"/>
    <sheet name="Three Statements (2)" sheetId="7" r:id="rId7"/>
  </sheets>
  <definedNames>
    <definedName name="_xlnm._FilterDatabase" localSheetId="5" hidden="1">'Segmental forecast (2)'!$A$1:$N$216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5" i="7" l="1"/>
  <c r="K55" i="7"/>
  <c r="L55" i="7" s="1"/>
  <c r="M55" i="7" s="1"/>
  <c r="J55" i="7"/>
  <c r="B14" i="6"/>
  <c r="B211" i="6"/>
  <c r="J50" i="7"/>
  <c r="J10" i="7"/>
  <c r="C70" i="7"/>
  <c r="D70" i="7"/>
  <c r="E70" i="7"/>
  <c r="F70" i="7"/>
  <c r="G70" i="7"/>
  <c r="H70" i="7"/>
  <c r="I70" i="7"/>
  <c r="B70" i="7"/>
  <c r="I69" i="7"/>
  <c r="H69" i="7"/>
  <c r="G69" i="7"/>
  <c r="F69" i="7"/>
  <c r="E69" i="7"/>
  <c r="D69" i="7"/>
  <c r="C69" i="7"/>
  <c r="B69" i="7"/>
  <c r="B68" i="7"/>
  <c r="J22" i="7"/>
  <c r="I50" i="7"/>
  <c r="J19" i="7"/>
  <c r="N33" i="7"/>
  <c r="M33" i="7"/>
  <c r="L33" i="7"/>
  <c r="K33" i="7"/>
  <c r="J33" i="7"/>
  <c r="I61" i="7"/>
  <c r="H61" i="7"/>
  <c r="G61" i="7"/>
  <c r="F61" i="7"/>
  <c r="E61" i="7"/>
  <c r="D61" i="7"/>
  <c r="C61" i="7"/>
  <c r="B61" i="7"/>
  <c r="G68" i="7" l="1"/>
  <c r="F68" i="7"/>
  <c r="E68" i="7"/>
  <c r="D68" i="7"/>
  <c r="C68" i="7"/>
  <c r="H67" i="7"/>
  <c r="G67" i="7"/>
  <c r="F67" i="7"/>
  <c r="E67" i="7"/>
  <c r="D67" i="7"/>
  <c r="C67" i="7"/>
  <c r="B67" i="7"/>
  <c r="I65" i="7"/>
  <c r="H65" i="7"/>
  <c r="G65" i="7"/>
  <c r="F65" i="7"/>
  <c r="E65" i="7"/>
  <c r="D65" i="7"/>
  <c r="C65" i="7"/>
  <c r="B65" i="7"/>
  <c r="I63" i="7"/>
  <c r="H63" i="7"/>
  <c r="G63" i="7"/>
  <c r="F63" i="7"/>
  <c r="E63" i="7"/>
  <c r="J63" i="7" s="1"/>
  <c r="K63" i="7" s="1"/>
  <c r="D63" i="7"/>
  <c r="C63" i="7"/>
  <c r="B63" i="7"/>
  <c r="I62" i="7"/>
  <c r="H62" i="7"/>
  <c r="G62" i="7"/>
  <c r="F62" i="7"/>
  <c r="E62" i="7"/>
  <c r="D62" i="7"/>
  <c r="D64" i="7" s="1"/>
  <c r="C62" i="7"/>
  <c r="C64" i="7" s="1"/>
  <c r="B62" i="7"/>
  <c r="B64" i="7" s="1"/>
  <c r="I59" i="7"/>
  <c r="I60" i="7" s="1"/>
  <c r="H59" i="7"/>
  <c r="G59" i="7"/>
  <c r="H60" i="7" s="1"/>
  <c r="F59" i="7"/>
  <c r="E59" i="7"/>
  <c r="D59" i="7"/>
  <c r="D60" i="7" s="1"/>
  <c r="C59" i="7"/>
  <c r="B59" i="7"/>
  <c r="C60" i="7" s="1"/>
  <c r="I57" i="7"/>
  <c r="H57" i="7"/>
  <c r="G57" i="7"/>
  <c r="F57" i="7"/>
  <c r="E57" i="7"/>
  <c r="D57" i="7"/>
  <c r="C57" i="7"/>
  <c r="B57" i="7"/>
  <c r="H50" i="7"/>
  <c r="G50" i="7"/>
  <c r="F50" i="7"/>
  <c r="E50" i="7"/>
  <c r="D50" i="7"/>
  <c r="C50" i="7"/>
  <c r="B50" i="7"/>
  <c r="I48" i="7"/>
  <c r="H48" i="7"/>
  <c r="G48" i="7"/>
  <c r="F48" i="7"/>
  <c r="E48" i="7"/>
  <c r="D48" i="7"/>
  <c r="C48" i="7"/>
  <c r="B48" i="7"/>
  <c r="I42" i="7"/>
  <c r="H42" i="7"/>
  <c r="G42" i="7"/>
  <c r="F42" i="7"/>
  <c r="E42" i="7"/>
  <c r="D42" i="7"/>
  <c r="C42" i="7"/>
  <c r="B42" i="7"/>
  <c r="B39" i="7" s="1"/>
  <c r="I41" i="7"/>
  <c r="H41" i="7"/>
  <c r="G41" i="7"/>
  <c r="G39" i="7" s="1"/>
  <c r="F41" i="7"/>
  <c r="F39" i="7" s="1"/>
  <c r="E41" i="7"/>
  <c r="D41" i="7"/>
  <c r="C41" i="7"/>
  <c r="B41" i="7"/>
  <c r="I40" i="7"/>
  <c r="H40" i="7"/>
  <c r="G40" i="7"/>
  <c r="F40" i="7"/>
  <c r="J40" i="7" s="1"/>
  <c r="E40" i="7"/>
  <c r="D40" i="7"/>
  <c r="C40" i="7"/>
  <c r="B40" i="7"/>
  <c r="I38" i="7"/>
  <c r="H38" i="7"/>
  <c r="G38" i="7"/>
  <c r="F38" i="7"/>
  <c r="E38" i="7"/>
  <c r="J38" i="7" s="1"/>
  <c r="D38" i="7"/>
  <c r="C38" i="7"/>
  <c r="B38" i="7"/>
  <c r="I37" i="7"/>
  <c r="H37" i="7"/>
  <c r="G37" i="7"/>
  <c r="F37" i="7"/>
  <c r="E37" i="7"/>
  <c r="D37" i="7"/>
  <c r="C37" i="7"/>
  <c r="B37" i="7"/>
  <c r="I36" i="7"/>
  <c r="H36" i="7"/>
  <c r="G36" i="7"/>
  <c r="F36" i="7"/>
  <c r="E36" i="7"/>
  <c r="J36" i="7" s="1"/>
  <c r="D36" i="7"/>
  <c r="C36" i="7"/>
  <c r="B36" i="7"/>
  <c r="I35" i="7"/>
  <c r="H35" i="7"/>
  <c r="G35" i="7"/>
  <c r="F35" i="7"/>
  <c r="E35" i="7"/>
  <c r="D35" i="7"/>
  <c r="C35" i="7"/>
  <c r="B35" i="7"/>
  <c r="I34" i="7"/>
  <c r="H34" i="7"/>
  <c r="G34" i="7"/>
  <c r="F34" i="7"/>
  <c r="E34" i="7"/>
  <c r="D34" i="7"/>
  <c r="C34" i="7"/>
  <c r="B34" i="7"/>
  <c r="I33" i="7"/>
  <c r="H33" i="7"/>
  <c r="G33" i="7"/>
  <c r="F33" i="7"/>
  <c r="E33" i="7"/>
  <c r="D33" i="7"/>
  <c r="C33" i="7"/>
  <c r="B33" i="7"/>
  <c r="I30" i="7"/>
  <c r="H30" i="7"/>
  <c r="G30" i="7"/>
  <c r="F30" i="7"/>
  <c r="E30" i="7"/>
  <c r="D30" i="7"/>
  <c r="C30" i="7"/>
  <c r="B30" i="7"/>
  <c r="I29" i="7"/>
  <c r="H29" i="7"/>
  <c r="G29" i="7"/>
  <c r="F29" i="7"/>
  <c r="E29" i="7"/>
  <c r="D29" i="7"/>
  <c r="C29" i="7"/>
  <c r="B29" i="7"/>
  <c r="I28" i="7"/>
  <c r="H28" i="7"/>
  <c r="G28" i="7"/>
  <c r="F28" i="7"/>
  <c r="E28" i="7"/>
  <c r="D28" i="7"/>
  <c r="C28" i="7"/>
  <c r="B28" i="7"/>
  <c r="I27" i="7"/>
  <c r="H27" i="7"/>
  <c r="G27" i="7"/>
  <c r="F27" i="7"/>
  <c r="E27" i="7"/>
  <c r="D27" i="7"/>
  <c r="C27" i="7"/>
  <c r="B27" i="7"/>
  <c r="I26" i="7"/>
  <c r="H26" i="7"/>
  <c r="G26" i="7"/>
  <c r="F26" i="7"/>
  <c r="E26" i="7"/>
  <c r="D26" i="7"/>
  <c r="C26" i="7"/>
  <c r="B26" i="7"/>
  <c r="I25" i="7"/>
  <c r="H25" i="7"/>
  <c r="G25" i="7"/>
  <c r="F25" i="7"/>
  <c r="E25" i="7"/>
  <c r="J25" i="7" s="1"/>
  <c r="D25" i="7"/>
  <c r="C25" i="7"/>
  <c r="B25" i="7"/>
  <c r="I23" i="7"/>
  <c r="H23" i="7"/>
  <c r="I51" i="7" s="1"/>
  <c r="G23" i="7"/>
  <c r="F23" i="7"/>
  <c r="G51" i="7" s="1"/>
  <c r="E23" i="7"/>
  <c r="D23" i="7"/>
  <c r="C23" i="7"/>
  <c r="B23" i="7"/>
  <c r="I22" i="7"/>
  <c r="H22" i="7"/>
  <c r="G22" i="7"/>
  <c r="F22" i="7"/>
  <c r="E22" i="7"/>
  <c r="D22" i="7"/>
  <c r="C22" i="7"/>
  <c r="B22" i="7"/>
  <c r="I21" i="7"/>
  <c r="H21" i="7"/>
  <c r="G21" i="7"/>
  <c r="F21" i="7"/>
  <c r="E21" i="7"/>
  <c r="D21" i="7"/>
  <c r="C21" i="7"/>
  <c r="B21" i="7"/>
  <c r="I18" i="7"/>
  <c r="H18" i="7"/>
  <c r="G18" i="7"/>
  <c r="I17" i="7"/>
  <c r="H17" i="7"/>
  <c r="G17" i="7"/>
  <c r="F17" i="7"/>
  <c r="E17" i="7"/>
  <c r="E18" i="7" s="1"/>
  <c r="D17" i="7"/>
  <c r="D18" i="7" s="1"/>
  <c r="C17" i="7"/>
  <c r="C18" i="7" s="1"/>
  <c r="B17" i="7"/>
  <c r="B18" i="7" s="1"/>
  <c r="I16" i="7"/>
  <c r="H16" i="7"/>
  <c r="H19" i="7" s="1"/>
  <c r="G16" i="7"/>
  <c r="F16" i="7"/>
  <c r="E16" i="7"/>
  <c r="E19" i="7" s="1"/>
  <c r="D16" i="7"/>
  <c r="D19" i="7" s="1"/>
  <c r="C16" i="7"/>
  <c r="C19" i="7" s="1"/>
  <c r="B16" i="7"/>
  <c r="B19" i="7" s="1"/>
  <c r="I15" i="7"/>
  <c r="H15" i="7"/>
  <c r="G15" i="7"/>
  <c r="F15" i="7"/>
  <c r="E15" i="7"/>
  <c r="D15" i="7"/>
  <c r="C15" i="7"/>
  <c r="B15" i="7"/>
  <c r="G14" i="7"/>
  <c r="K13" i="7"/>
  <c r="L13" i="7" s="1"/>
  <c r="M13" i="7" s="1"/>
  <c r="N13" i="7" s="1"/>
  <c r="I12" i="7"/>
  <c r="H12" i="7"/>
  <c r="G12" i="7"/>
  <c r="F12" i="7"/>
  <c r="E12" i="7"/>
  <c r="D12" i="7"/>
  <c r="C12" i="7"/>
  <c r="B12" i="7"/>
  <c r="I10" i="7"/>
  <c r="H10" i="7"/>
  <c r="G10" i="7"/>
  <c r="F10" i="7"/>
  <c r="E10" i="7"/>
  <c r="D10" i="7"/>
  <c r="C10" i="7"/>
  <c r="B10" i="7"/>
  <c r="J1" i="7"/>
  <c r="K1" i="7" s="1"/>
  <c r="L1" i="7" s="1"/>
  <c r="M1" i="7" s="1"/>
  <c r="N1" i="7" s="1"/>
  <c r="H1" i="7"/>
  <c r="G1" i="7"/>
  <c r="F1" i="7" s="1"/>
  <c r="E1" i="7" s="1"/>
  <c r="D1" i="7" s="1"/>
  <c r="C1" i="7" s="1"/>
  <c r="B1" i="7" s="1"/>
  <c r="F216" i="6"/>
  <c r="I214" i="6"/>
  <c r="H214" i="6"/>
  <c r="G214" i="6"/>
  <c r="F214" i="6"/>
  <c r="E214" i="6"/>
  <c r="D214" i="6"/>
  <c r="C214" i="6"/>
  <c r="B214" i="6"/>
  <c r="E211" i="6"/>
  <c r="F210" i="6"/>
  <c r="E210" i="6"/>
  <c r="D210" i="6"/>
  <c r="C210" i="6"/>
  <c r="D209" i="6"/>
  <c r="C209" i="6"/>
  <c r="B209" i="6"/>
  <c r="I208" i="6"/>
  <c r="I209" i="6" s="1"/>
  <c r="H208" i="6"/>
  <c r="G208" i="6"/>
  <c r="F208" i="6"/>
  <c r="E208" i="6"/>
  <c r="D208" i="6"/>
  <c r="C208" i="6"/>
  <c r="B208" i="6"/>
  <c r="E207" i="6"/>
  <c r="D207" i="6"/>
  <c r="F206" i="6"/>
  <c r="E206" i="6"/>
  <c r="D206" i="6"/>
  <c r="I205" i="6"/>
  <c r="F205" i="6"/>
  <c r="E205" i="6"/>
  <c r="I204" i="6"/>
  <c r="H204" i="6"/>
  <c r="G204" i="6"/>
  <c r="F204" i="6"/>
  <c r="E204" i="6"/>
  <c r="D204" i="6"/>
  <c r="C204" i="6"/>
  <c r="B204" i="6"/>
  <c r="H201" i="6"/>
  <c r="G201" i="6"/>
  <c r="F200" i="6"/>
  <c r="E200" i="6"/>
  <c r="D200" i="6"/>
  <c r="C200" i="6"/>
  <c r="B200" i="6"/>
  <c r="I199" i="6"/>
  <c r="H199" i="6"/>
  <c r="H203" i="6" s="1"/>
  <c r="G199" i="6"/>
  <c r="G200" i="6" s="1"/>
  <c r="F199" i="6"/>
  <c r="E199" i="6"/>
  <c r="D199" i="6"/>
  <c r="C199" i="6"/>
  <c r="B199" i="6"/>
  <c r="K197" i="6"/>
  <c r="J196" i="6"/>
  <c r="I196" i="6"/>
  <c r="F196" i="6"/>
  <c r="E196" i="6"/>
  <c r="D196" i="6"/>
  <c r="B196" i="6"/>
  <c r="I195" i="6"/>
  <c r="H195" i="6"/>
  <c r="G195" i="6"/>
  <c r="F195" i="6"/>
  <c r="E195" i="6"/>
  <c r="D195" i="6"/>
  <c r="C195" i="6"/>
  <c r="B195" i="6"/>
  <c r="C196" i="6" s="1"/>
  <c r="H193" i="6"/>
  <c r="G193" i="6"/>
  <c r="F193" i="6"/>
  <c r="B193" i="6"/>
  <c r="I192" i="6"/>
  <c r="H192" i="6"/>
  <c r="G192" i="6"/>
  <c r="F192" i="6"/>
  <c r="E192" i="6"/>
  <c r="D192" i="6"/>
  <c r="D193" i="6" s="1"/>
  <c r="C192" i="6"/>
  <c r="C193" i="6" s="1"/>
  <c r="B192" i="6"/>
  <c r="G190" i="6"/>
  <c r="I189" i="6"/>
  <c r="H189" i="6"/>
  <c r="H190" i="6" s="1"/>
  <c r="G189" i="6"/>
  <c r="F189" i="6"/>
  <c r="E189" i="6"/>
  <c r="D189" i="6"/>
  <c r="C189" i="6"/>
  <c r="B189" i="6"/>
  <c r="I188" i="6"/>
  <c r="J188" i="6" s="1"/>
  <c r="H188" i="6"/>
  <c r="C188" i="6"/>
  <c r="D186" i="6"/>
  <c r="C186" i="6"/>
  <c r="B186" i="6"/>
  <c r="I185" i="6"/>
  <c r="H185" i="6"/>
  <c r="G185" i="6"/>
  <c r="F185" i="6"/>
  <c r="E185" i="6"/>
  <c r="D185" i="6"/>
  <c r="D188" i="6" s="1"/>
  <c r="C185" i="6"/>
  <c r="B185" i="6"/>
  <c r="B188" i="6" s="1"/>
  <c r="K184" i="6"/>
  <c r="L184" i="6" s="1"/>
  <c r="M184" i="6" s="1"/>
  <c r="N184" i="6" s="1"/>
  <c r="H182" i="6"/>
  <c r="G182" i="6"/>
  <c r="D182" i="6"/>
  <c r="K181" i="6"/>
  <c r="L181" i="6" s="1"/>
  <c r="M181" i="6" s="1"/>
  <c r="N181" i="6" s="1"/>
  <c r="B181" i="6"/>
  <c r="K180" i="6"/>
  <c r="H179" i="6"/>
  <c r="H181" i="6" s="1"/>
  <c r="F179" i="6"/>
  <c r="F181" i="6" s="1"/>
  <c r="J178" i="6"/>
  <c r="I178" i="6"/>
  <c r="H178" i="6"/>
  <c r="H164" i="6" s="1"/>
  <c r="H187" i="6" s="1"/>
  <c r="G178" i="6"/>
  <c r="G179" i="6" s="1"/>
  <c r="G181" i="6" s="1"/>
  <c r="F178" i="6"/>
  <c r="E178" i="6"/>
  <c r="D178" i="6"/>
  <c r="C178" i="6"/>
  <c r="B178" i="6"/>
  <c r="B175" i="6" s="1"/>
  <c r="B177" i="6" s="1"/>
  <c r="K177" i="6"/>
  <c r="L177" i="6" s="1"/>
  <c r="M177" i="6" s="1"/>
  <c r="N177" i="6" s="1"/>
  <c r="K176" i="6"/>
  <c r="I176" i="6"/>
  <c r="H176" i="6"/>
  <c r="G176" i="6"/>
  <c r="F176" i="6"/>
  <c r="E176" i="6"/>
  <c r="D176" i="6"/>
  <c r="C176" i="6"/>
  <c r="B176" i="6"/>
  <c r="J175" i="6"/>
  <c r="I175" i="6"/>
  <c r="I174" i="6"/>
  <c r="J174" i="6" s="1"/>
  <c r="H174" i="6"/>
  <c r="K173" i="6"/>
  <c r="L173" i="6" s="1"/>
  <c r="M173" i="6" s="1"/>
  <c r="N173" i="6" s="1"/>
  <c r="K172" i="6"/>
  <c r="L172" i="6" s="1"/>
  <c r="M172" i="6" s="1"/>
  <c r="N172" i="6" s="1"/>
  <c r="I172" i="6"/>
  <c r="H172" i="6"/>
  <c r="G172" i="6"/>
  <c r="F172" i="6"/>
  <c r="E172" i="6"/>
  <c r="D172" i="6"/>
  <c r="C172" i="6"/>
  <c r="B172" i="6"/>
  <c r="J171" i="6"/>
  <c r="J170" i="6"/>
  <c r="I170" i="6"/>
  <c r="H170" i="6"/>
  <c r="E170" i="6"/>
  <c r="C170" i="6"/>
  <c r="B170" i="6"/>
  <c r="B171" i="6" s="1"/>
  <c r="B173" i="6" s="1"/>
  <c r="K169" i="6"/>
  <c r="L169" i="6" s="1"/>
  <c r="M169" i="6" s="1"/>
  <c r="N169" i="6" s="1"/>
  <c r="K168" i="6"/>
  <c r="L168" i="6" s="1"/>
  <c r="I168" i="6"/>
  <c r="H168" i="6"/>
  <c r="G168" i="6"/>
  <c r="F168" i="6"/>
  <c r="E168" i="6"/>
  <c r="D168" i="6"/>
  <c r="C168" i="6"/>
  <c r="B168" i="6"/>
  <c r="J167" i="6"/>
  <c r="J166" i="6" s="1"/>
  <c r="I167" i="6"/>
  <c r="I166" i="6"/>
  <c r="H166" i="6"/>
  <c r="B165" i="6"/>
  <c r="E164" i="6"/>
  <c r="D164" i="6"/>
  <c r="E162" i="6"/>
  <c r="D162" i="6"/>
  <c r="C162" i="6"/>
  <c r="D161" i="6"/>
  <c r="I160" i="6"/>
  <c r="I17" i="6" s="1"/>
  <c r="H160" i="6"/>
  <c r="G160" i="6"/>
  <c r="F160" i="6"/>
  <c r="F162" i="6" s="1"/>
  <c r="E160" i="6"/>
  <c r="D160" i="6"/>
  <c r="C160" i="6"/>
  <c r="B160" i="6"/>
  <c r="B162" i="6" s="1"/>
  <c r="G159" i="6"/>
  <c r="F159" i="6"/>
  <c r="I158" i="6"/>
  <c r="H158" i="6"/>
  <c r="G158" i="6"/>
  <c r="F158" i="6"/>
  <c r="E158" i="6"/>
  <c r="D158" i="6"/>
  <c r="I157" i="6"/>
  <c r="H157" i="6"/>
  <c r="G157" i="6"/>
  <c r="F157" i="6"/>
  <c r="E157" i="6"/>
  <c r="E159" i="6" s="1"/>
  <c r="D157" i="6"/>
  <c r="C157" i="6"/>
  <c r="C159" i="6" s="1"/>
  <c r="B157" i="6"/>
  <c r="B159" i="6" s="1"/>
  <c r="D156" i="6"/>
  <c r="D155" i="6"/>
  <c r="B155" i="6"/>
  <c r="I154" i="6"/>
  <c r="H154" i="6"/>
  <c r="G154" i="6"/>
  <c r="F154" i="6"/>
  <c r="E154" i="6"/>
  <c r="D154" i="6"/>
  <c r="C154" i="6"/>
  <c r="C156" i="6" s="1"/>
  <c r="B154" i="6"/>
  <c r="D153" i="6"/>
  <c r="D152" i="6"/>
  <c r="C152" i="6"/>
  <c r="I151" i="6"/>
  <c r="D151" i="6"/>
  <c r="C151" i="6"/>
  <c r="I150" i="6"/>
  <c r="H150" i="6"/>
  <c r="G150" i="6"/>
  <c r="G151" i="6" s="1"/>
  <c r="F150" i="6"/>
  <c r="E150" i="6"/>
  <c r="D150" i="6"/>
  <c r="C150" i="6"/>
  <c r="B150" i="6"/>
  <c r="D147" i="6"/>
  <c r="D149" i="6" s="1"/>
  <c r="C147" i="6"/>
  <c r="C149" i="6" s="1"/>
  <c r="G146" i="6"/>
  <c r="F146" i="6"/>
  <c r="E146" i="6"/>
  <c r="D146" i="6"/>
  <c r="B146" i="6"/>
  <c r="I145" i="6"/>
  <c r="H145" i="6"/>
  <c r="H146" i="6" s="1"/>
  <c r="G145" i="6"/>
  <c r="F145" i="6"/>
  <c r="E145" i="6"/>
  <c r="D145" i="6"/>
  <c r="D159" i="6" s="1"/>
  <c r="C145" i="6"/>
  <c r="B145" i="6"/>
  <c r="B152" i="6" s="1"/>
  <c r="A144" i="6"/>
  <c r="K143" i="6"/>
  <c r="K142" i="6" s="1"/>
  <c r="J142" i="6"/>
  <c r="D142" i="6"/>
  <c r="C142" i="6"/>
  <c r="I141" i="6"/>
  <c r="H141" i="6"/>
  <c r="G141" i="6"/>
  <c r="F141" i="6"/>
  <c r="F142" i="6" s="1"/>
  <c r="E141" i="6"/>
  <c r="D141" i="6"/>
  <c r="C141" i="6"/>
  <c r="B141" i="6"/>
  <c r="B142" i="6" s="1"/>
  <c r="I139" i="6"/>
  <c r="H139" i="6"/>
  <c r="G139" i="6"/>
  <c r="I138" i="6"/>
  <c r="H138" i="6"/>
  <c r="G138" i="6"/>
  <c r="F138" i="6"/>
  <c r="E138" i="6"/>
  <c r="D138" i="6"/>
  <c r="C138" i="6"/>
  <c r="B138" i="6"/>
  <c r="F136" i="6"/>
  <c r="E136" i="6"/>
  <c r="D136" i="6"/>
  <c r="C136" i="6"/>
  <c r="I135" i="6"/>
  <c r="H135" i="6"/>
  <c r="G135" i="6"/>
  <c r="F135" i="6"/>
  <c r="E135" i="6"/>
  <c r="D135" i="6"/>
  <c r="C135" i="6"/>
  <c r="B135" i="6"/>
  <c r="I134" i="6"/>
  <c r="J134" i="6" s="1"/>
  <c r="K134" i="6" s="1"/>
  <c r="L134" i="6" s="1"/>
  <c r="M134" i="6" s="1"/>
  <c r="H134" i="6"/>
  <c r="D134" i="6"/>
  <c r="C134" i="6"/>
  <c r="B134" i="6"/>
  <c r="I132" i="6"/>
  <c r="H132" i="6"/>
  <c r="D132" i="6"/>
  <c r="B132" i="6"/>
  <c r="I131" i="6"/>
  <c r="H131" i="6"/>
  <c r="G131" i="6"/>
  <c r="F131" i="6"/>
  <c r="E131" i="6"/>
  <c r="D131" i="6"/>
  <c r="C131" i="6"/>
  <c r="B131" i="6"/>
  <c r="K130" i="6"/>
  <c r="L130" i="6" s="1"/>
  <c r="M130" i="6" s="1"/>
  <c r="N130" i="6" s="1"/>
  <c r="H128" i="6"/>
  <c r="F128" i="6"/>
  <c r="D128" i="6"/>
  <c r="K127" i="6"/>
  <c r="L127" i="6" s="1"/>
  <c r="M127" i="6" s="1"/>
  <c r="N127" i="6" s="1"/>
  <c r="K126" i="6"/>
  <c r="L126" i="6" s="1"/>
  <c r="M126" i="6" s="1"/>
  <c r="N126" i="6" s="1"/>
  <c r="N125" i="6" s="1"/>
  <c r="I126" i="6"/>
  <c r="H126" i="6"/>
  <c r="G126" i="6"/>
  <c r="F126" i="6"/>
  <c r="E126" i="6"/>
  <c r="D126" i="6"/>
  <c r="C126" i="6"/>
  <c r="B126" i="6"/>
  <c r="J125" i="6"/>
  <c r="J124" i="6" s="1"/>
  <c r="H125" i="6"/>
  <c r="H127" i="6" s="1"/>
  <c r="G125" i="6"/>
  <c r="G127" i="6" s="1"/>
  <c r="E125" i="6"/>
  <c r="E127" i="6" s="1"/>
  <c r="D125" i="6"/>
  <c r="C125" i="6"/>
  <c r="C127" i="6" s="1"/>
  <c r="B125" i="6"/>
  <c r="B127" i="6" s="1"/>
  <c r="I124" i="6"/>
  <c r="I125" i="6" s="1"/>
  <c r="H124" i="6"/>
  <c r="G124" i="6"/>
  <c r="F124" i="6"/>
  <c r="E124" i="6"/>
  <c r="D124" i="6"/>
  <c r="C124" i="6"/>
  <c r="B124" i="6"/>
  <c r="K123" i="6"/>
  <c r="L123" i="6" s="1"/>
  <c r="M123" i="6" s="1"/>
  <c r="N123" i="6" s="1"/>
  <c r="K122" i="6"/>
  <c r="K121" i="6" s="1"/>
  <c r="I122" i="6"/>
  <c r="H122" i="6"/>
  <c r="G122" i="6"/>
  <c r="F122" i="6"/>
  <c r="E122" i="6"/>
  <c r="D122" i="6"/>
  <c r="C122" i="6"/>
  <c r="B122" i="6"/>
  <c r="J121" i="6"/>
  <c r="H121" i="6"/>
  <c r="H123" i="6" s="1"/>
  <c r="G121" i="6"/>
  <c r="G123" i="6" s="1"/>
  <c r="F121" i="6"/>
  <c r="F123" i="6" s="1"/>
  <c r="E121" i="6"/>
  <c r="E123" i="6" s="1"/>
  <c r="D121" i="6"/>
  <c r="D123" i="6" s="1"/>
  <c r="B121" i="6"/>
  <c r="B123" i="6" s="1"/>
  <c r="J120" i="6"/>
  <c r="I120" i="6"/>
  <c r="I121" i="6" s="1"/>
  <c r="I123" i="6" s="1"/>
  <c r="H120" i="6"/>
  <c r="G120" i="6"/>
  <c r="F120" i="6"/>
  <c r="E120" i="6"/>
  <c r="D120" i="6"/>
  <c r="C120" i="6"/>
  <c r="C121" i="6" s="1"/>
  <c r="C123" i="6" s="1"/>
  <c r="B120" i="6"/>
  <c r="K119" i="6"/>
  <c r="L119" i="6" s="1"/>
  <c r="K118" i="6"/>
  <c r="L118" i="6" s="1"/>
  <c r="M118" i="6" s="1"/>
  <c r="I118" i="6"/>
  <c r="H118" i="6"/>
  <c r="G118" i="6"/>
  <c r="F118" i="6"/>
  <c r="E118" i="6"/>
  <c r="D118" i="6"/>
  <c r="C118" i="6"/>
  <c r="B118" i="6"/>
  <c r="J117" i="6"/>
  <c r="I116" i="6"/>
  <c r="H116" i="6"/>
  <c r="G116" i="6"/>
  <c r="F116" i="6"/>
  <c r="E116" i="6"/>
  <c r="D116" i="6"/>
  <c r="C116" i="6"/>
  <c r="B116" i="6"/>
  <c r="F114" i="6"/>
  <c r="F143" i="6" s="1"/>
  <c r="C114" i="6"/>
  <c r="A113" i="6"/>
  <c r="K112" i="6"/>
  <c r="L112" i="6" s="1"/>
  <c r="M112" i="6" s="1"/>
  <c r="M111" i="6" s="1"/>
  <c r="L111" i="6"/>
  <c r="K111" i="6"/>
  <c r="J111" i="6"/>
  <c r="F111" i="6"/>
  <c r="E111" i="6"/>
  <c r="C111" i="6"/>
  <c r="I110" i="6"/>
  <c r="H110" i="6"/>
  <c r="G110" i="6"/>
  <c r="F110" i="6"/>
  <c r="E110" i="6"/>
  <c r="D110" i="6"/>
  <c r="C110" i="6"/>
  <c r="B110" i="6"/>
  <c r="B111" i="6" s="1"/>
  <c r="G108" i="6"/>
  <c r="F108" i="6"/>
  <c r="D108" i="6"/>
  <c r="C108" i="6"/>
  <c r="B108" i="6"/>
  <c r="I107" i="6"/>
  <c r="H107" i="6"/>
  <c r="G107" i="6"/>
  <c r="F107" i="6"/>
  <c r="E107" i="6"/>
  <c r="E108" i="6" s="1"/>
  <c r="D107" i="6"/>
  <c r="C107" i="6"/>
  <c r="B107" i="6"/>
  <c r="E105" i="6"/>
  <c r="I104" i="6"/>
  <c r="I97" i="6" s="1"/>
  <c r="H104" i="6"/>
  <c r="G104" i="6"/>
  <c r="F104" i="6"/>
  <c r="E104" i="6"/>
  <c r="D104" i="6"/>
  <c r="C104" i="6"/>
  <c r="B104" i="6"/>
  <c r="I103" i="6"/>
  <c r="J103" i="6" s="1"/>
  <c r="K103" i="6" s="1"/>
  <c r="L103" i="6" s="1"/>
  <c r="M103" i="6" s="1"/>
  <c r="N103" i="6" s="1"/>
  <c r="F103" i="6"/>
  <c r="E103" i="6"/>
  <c r="C103" i="6"/>
  <c r="I101" i="6"/>
  <c r="H101" i="6"/>
  <c r="G101" i="6"/>
  <c r="F101" i="6"/>
  <c r="D101" i="6"/>
  <c r="I100" i="6"/>
  <c r="H100" i="6"/>
  <c r="G100" i="6"/>
  <c r="F100" i="6"/>
  <c r="E100" i="6"/>
  <c r="D100" i="6"/>
  <c r="C100" i="6"/>
  <c r="B100" i="6"/>
  <c r="K99" i="6"/>
  <c r="L99" i="6" s="1"/>
  <c r="M99" i="6" s="1"/>
  <c r="N99" i="6" s="1"/>
  <c r="F97" i="6"/>
  <c r="E97" i="6"/>
  <c r="D97" i="6"/>
  <c r="K96" i="6"/>
  <c r="L96" i="6" s="1"/>
  <c r="M96" i="6" s="1"/>
  <c r="N96" i="6" s="1"/>
  <c r="K95" i="6"/>
  <c r="I95" i="6"/>
  <c r="H95" i="6"/>
  <c r="G95" i="6"/>
  <c r="F95" i="6"/>
  <c r="E95" i="6"/>
  <c r="D95" i="6"/>
  <c r="C95" i="6"/>
  <c r="B95" i="6"/>
  <c r="J94" i="6"/>
  <c r="H94" i="6"/>
  <c r="G94" i="6"/>
  <c r="G96" i="6" s="1"/>
  <c r="F94" i="6"/>
  <c r="F96" i="6" s="1"/>
  <c r="E94" i="6"/>
  <c r="E96" i="6" s="1"/>
  <c r="C94" i="6"/>
  <c r="C96" i="6" s="1"/>
  <c r="B94" i="6"/>
  <c r="B96" i="6" s="1"/>
  <c r="I93" i="6"/>
  <c r="H93" i="6"/>
  <c r="G93" i="6"/>
  <c r="F93" i="6"/>
  <c r="E93" i="6"/>
  <c r="D93" i="6"/>
  <c r="C93" i="6"/>
  <c r="B93" i="6"/>
  <c r="K92" i="6"/>
  <c r="L92" i="6" s="1"/>
  <c r="K91" i="6"/>
  <c r="L91" i="6" s="1"/>
  <c r="M91" i="6" s="1"/>
  <c r="I91" i="6"/>
  <c r="H91" i="6"/>
  <c r="G91" i="6"/>
  <c r="F91" i="6"/>
  <c r="E91" i="6"/>
  <c r="D91" i="6"/>
  <c r="C91" i="6"/>
  <c r="B91" i="6"/>
  <c r="J90" i="6"/>
  <c r="J89" i="6" s="1"/>
  <c r="I90" i="6"/>
  <c r="I92" i="6" s="1"/>
  <c r="G90" i="6"/>
  <c r="G92" i="6" s="1"/>
  <c r="F90" i="6"/>
  <c r="F92" i="6" s="1"/>
  <c r="E90" i="6"/>
  <c r="E92" i="6" s="1"/>
  <c r="D90" i="6"/>
  <c r="D92" i="6" s="1"/>
  <c r="C90" i="6"/>
  <c r="C92" i="6" s="1"/>
  <c r="B90" i="6"/>
  <c r="B92" i="6" s="1"/>
  <c r="I89" i="6"/>
  <c r="H89" i="6"/>
  <c r="H90" i="6" s="1"/>
  <c r="H92" i="6" s="1"/>
  <c r="G89" i="6"/>
  <c r="F89" i="6"/>
  <c r="E89" i="6"/>
  <c r="D89" i="6"/>
  <c r="C89" i="6"/>
  <c r="B89" i="6"/>
  <c r="K88" i="6"/>
  <c r="L88" i="6" s="1"/>
  <c r="F88" i="6"/>
  <c r="K87" i="6"/>
  <c r="L87" i="6" s="1"/>
  <c r="M87" i="6" s="1"/>
  <c r="N87" i="6" s="1"/>
  <c r="I87" i="6"/>
  <c r="H87" i="6"/>
  <c r="G87" i="6"/>
  <c r="F87" i="6"/>
  <c r="E87" i="6"/>
  <c r="D87" i="6"/>
  <c r="C87" i="6"/>
  <c r="B87" i="6"/>
  <c r="J86" i="6"/>
  <c r="J85" i="6" s="1"/>
  <c r="F86" i="6"/>
  <c r="C86" i="6"/>
  <c r="B86" i="6"/>
  <c r="B88" i="6" s="1"/>
  <c r="I85" i="6"/>
  <c r="H85" i="6"/>
  <c r="G85" i="6"/>
  <c r="F85" i="6"/>
  <c r="E85" i="6"/>
  <c r="D85" i="6"/>
  <c r="C85" i="6"/>
  <c r="C83" i="6" s="1"/>
  <c r="C109" i="6" s="1"/>
  <c r="B85" i="6"/>
  <c r="B83" i="6" s="1"/>
  <c r="B109" i="6" s="1"/>
  <c r="G83" i="6"/>
  <c r="G102" i="6" s="1"/>
  <c r="F83" i="6"/>
  <c r="F102" i="6" s="1"/>
  <c r="E83" i="6"/>
  <c r="E102" i="6" s="1"/>
  <c r="A82" i="6"/>
  <c r="K81" i="6"/>
  <c r="L81" i="6" s="1"/>
  <c r="K80" i="6"/>
  <c r="J80" i="6"/>
  <c r="I79" i="6"/>
  <c r="H79" i="6"/>
  <c r="G79" i="6"/>
  <c r="G72" i="6" s="1"/>
  <c r="F79" i="6"/>
  <c r="E79" i="6"/>
  <c r="D79" i="6"/>
  <c r="H77" i="6"/>
  <c r="F77" i="6"/>
  <c r="E77" i="6"/>
  <c r="D77" i="6"/>
  <c r="I76" i="6"/>
  <c r="H76" i="6"/>
  <c r="G76" i="6"/>
  <c r="F76" i="6"/>
  <c r="E76" i="6"/>
  <c r="D76" i="6"/>
  <c r="C76" i="6"/>
  <c r="I73" i="6"/>
  <c r="H73" i="6"/>
  <c r="G73" i="6"/>
  <c r="F73" i="6"/>
  <c r="E73" i="6"/>
  <c r="D73" i="6"/>
  <c r="C73" i="6"/>
  <c r="F72" i="6"/>
  <c r="I70" i="6"/>
  <c r="D70" i="6"/>
  <c r="I69" i="6"/>
  <c r="H69" i="6"/>
  <c r="G69" i="6"/>
  <c r="F69" i="6"/>
  <c r="E69" i="6"/>
  <c r="D69" i="6"/>
  <c r="C69" i="6"/>
  <c r="K68" i="6"/>
  <c r="L68" i="6" s="1"/>
  <c r="M68" i="6" s="1"/>
  <c r="N68" i="6" s="1"/>
  <c r="G66" i="6"/>
  <c r="F66" i="6"/>
  <c r="K65" i="6"/>
  <c r="L65" i="6" s="1"/>
  <c r="M65" i="6" s="1"/>
  <c r="N65" i="6" s="1"/>
  <c r="K64" i="6"/>
  <c r="I64" i="6"/>
  <c r="H64" i="6"/>
  <c r="G64" i="6"/>
  <c r="F64" i="6"/>
  <c r="E64" i="6"/>
  <c r="D64" i="6"/>
  <c r="C64" i="6"/>
  <c r="B64" i="6"/>
  <c r="J63" i="6"/>
  <c r="G63" i="6"/>
  <c r="G65" i="6" s="1"/>
  <c r="E63" i="6"/>
  <c r="E65" i="6" s="1"/>
  <c r="D63" i="6"/>
  <c r="D65" i="6" s="1"/>
  <c r="I62" i="6"/>
  <c r="H62" i="6"/>
  <c r="H63" i="6" s="1"/>
  <c r="H65" i="6" s="1"/>
  <c r="G62" i="6"/>
  <c r="F62" i="6"/>
  <c r="E62" i="6"/>
  <c r="D62" i="6"/>
  <c r="C62" i="6"/>
  <c r="K61" i="6"/>
  <c r="L61" i="6" s="1"/>
  <c r="M61" i="6" s="1"/>
  <c r="N61" i="6" s="1"/>
  <c r="K60" i="6"/>
  <c r="L60" i="6" s="1"/>
  <c r="M60" i="6" s="1"/>
  <c r="N60" i="6" s="1"/>
  <c r="N59" i="6" s="1"/>
  <c r="I60" i="6"/>
  <c r="H60" i="6"/>
  <c r="G60" i="6"/>
  <c r="F60" i="6"/>
  <c r="E60" i="6"/>
  <c r="D60" i="6"/>
  <c r="C60" i="6"/>
  <c r="B60" i="6"/>
  <c r="M59" i="6"/>
  <c r="L59" i="6"/>
  <c r="J59" i="6"/>
  <c r="J58" i="6" s="1"/>
  <c r="G59" i="6"/>
  <c r="G61" i="6" s="1"/>
  <c r="I58" i="6"/>
  <c r="H58" i="6"/>
  <c r="G58" i="6"/>
  <c r="F58" i="6"/>
  <c r="E58" i="6"/>
  <c r="D58" i="6"/>
  <c r="C58" i="6"/>
  <c r="B58" i="6"/>
  <c r="B59" i="6" s="1"/>
  <c r="B61" i="6" s="1"/>
  <c r="K57" i="6"/>
  <c r="L57" i="6" s="1"/>
  <c r="M57" i="6" s="1"/>
  <c r="N57" i="6" s="1"/>
  <c r="K56" i="6"/>
  <c r="L56" i="6" s="1"/>
  <c r="M56" i="6" s="1"/>
  <c r="I56" i="6"/>
  <c r="H56" i="6"/>
  <c r="G56" i="6"/>
  <c r="F56" i="6"/>
  <c r="E56" i="6"/>
  <c r="D56" i="6"/>
  <c r="C56" i="6"/>
  <c r="B56" i="6"/>
  <c r="J55" i="6"/>
  <c r="F55" i="6"/>
  <c r="F57" i="6" s="1"/>
  <c r="E55" i="6"/>
  <c r="D55" i="6"/>
  <c r="D57" i="6" s="1"/>
  <c r="C55" i="6"/>
  <c r="C57" i="6" s="1"/>
  <c r="B55" i="6"/>
  <c r="I54" i="6"/>
  <c r="H54" i="6"/>
  <c r="G54" i="6"/>
  <c r="F54" i="6"/>
  <c r="F52" i="6" s="1"/>
  <c r="F81" i="6" s="1"/>
  <c r="E54" i="6"/>
  <c r="D54" i="6"/>
  <c r="C54" i="6"/>
  <c r="A51" i="6"/>
  <c r="K50" i="6"/>
  <c r="K49" i="6" s="1"/>
  <c r="I50" i="6"/>
  <c r="J49" i="6"/>
  <c r="G49" i="6"/>
  <c r="E49" i="6"/>
  <c r="D49" i="6"/>
  <c r="C49" i="6"/>
  <c r="I48" i="6"/>
  <c r="H48" i="6"/>
  <c r="G48" i="6"/>
  <c r="F48" i="6"/>
  <c r="E48" i="6"/>
  <c r="D48" i="6"/>
  <c r="C48" i="6"/>
  <c r="B48" i="6"/>
  <c r="B49" i="6" s="1"/>
  <c r="F46" i="6"/>
  <c r="B46" i="6"/>
  <c r="I45" i="6"/>
  <c r="H45" i="6"/>
  <c r="H14" i="6" s="1"/>
  <c r="G45" i="6"/>
  <c r="F45" i="6"/>
  <c r="E45" i="6"/>
  <c r="D45" i="6"/>
  <c r="C45" i="6"/>
  <c r="B45" i="6"/>
  <c r="H43" i="6"/>
  <c r="E43" i="6"/>
  <c r="D43" i="6"/>
  <c r="C43" i="6"/>
  <c r="I42" i="6"/>
  <c r="H42" i="6"/>
  <c r="G42" i="6"/>
  <c r="F42" i="6"/>
  <c r="E42" i="6"/>
  <c r="D42" i="6"/>
  <c r="C42" i="6"/>
  <c r="B42" i="6"/>
  <c r="B43" i="6" s="1"/>
  <c r="E41" i="6"/>
  <c r="D41" i="6"/>
  <c r="C41" i="6"/>
  <c r="B41" i="6"/>
  <c r="I39" i="6"/>
  <c r="F39" i="6"/>
  <c r="E39" i="6"/>
  <c r="C39" i="6"/>
  <c r="B39" i="6"/>
  <c r="I38" i="6"/>
  <c r="H38" i="6"/>
  <c r="G38" i="6"/>
  <c r="F38" i="6"/>
  <c r="F41" i="6" s="1"/>
  <c r="E38" i="6"/>
  <c r="D38" i="6"/>
  <c r="C38" i="6"/>
  <c r="B38" i="6"/>
  <c r="K37" i="6"/>
  <c r="L37" i="6" s="1"/>
  <c r="M37" i="6" s="1"/>
  <c r="N37" i="6" s="1"/>
  <c r="F35" i="6"/>
  <c r="E35" i="6"/>
  <c r="D35" i="6"/>
  <c r="C35" i="6"/>
  <c r="C21" i="6" s="1"/>
  <c r="B35" i="6"/>
  <c r="B36" i="6" s="1"/>
  <c r="K34" i="6"/>
  <c r="L34" i="6" s="1"/>
  <c r="M34" i="6" s="1"/>
  <c r="N34" i="6" s="1"/>
  <c r="E34" i="6"/>
  <c r="K33" i="6"/>
  <c r="K32" i="6" s="1"/>
  <c r="I33" i="6"/>
  <c r="H33" i="6"/>
  <c r="G33" i="6"/>
  <c r="F33" i="6"/>
  <c r="E33" i="6"/>
  <c r="D33" i="6"/>
  <c r="C33" i="6"/>
  <c r="B33" i="6"/>
  <c r="J32" i="6"/>
  <c r="J31" i="6" s="1"/>
  <c r="I32" i="6"/>
  <c r="H32" i="6"/>
  <c r="G32" i="6"/>
  <c r="E32" i="6"/>
  <c r="D32" i="6"/>
  <c r="D34" i="6" s="1"/>
  <c r="I31" i="6"/>
  <c r="H31" i="6"/>
  <c r="G31" i="6"/>
  <c r="F31" i="6"/>
  <c r="F32" i="6" s="1"/>
  <c r="E31" i="6"/>
  <c r="D31" i="6"/>
  <c r="C31" i="6"/>
  <c r="B31" i="6"/>
  <c r="K30" i="6"/>
  <c r="L30" i="6" s="1"/>
  <c r="M30" i="6" s="1"/>
  <c r="N30" i="6" s="1"/>
  <c r="K29" i="6"/>
  <c r="I29" i="6"/>
  <c r="H29" i="6"/>
  <c r="G29" i="6"/>
  <c r="F29" i="6"/>
  <c r="E29" i="6"/>
  <c r="D29" i="6"/>
  <c r="C29" i="6"/>
  <c r="B29" i="6"/>
  <c r="J28" i="6"/>
  <c r="J27" i="6" s="1"/>
  <c r="I28" i="6"/>
  <c r="I30" i="6" s="1"/>
  <c r="H28" i="6"/>
  <c r="H30" i="6" s="1"/>
  <c r="G28" i="6"/>
  <c r="G30" i="6" s="1"/>
  <c r="C28" i="6"/>
  <c r="C30" i="6" s="1"/>
  <c r="B28" i="6"/>
  <c r="I27" i="6"/>
  <c r="H27" i="6"/>
  <c r="G27" i="6"/>
  <c r="F27" i="6"/>
  <c r="E27" i="6"/>
  <c r="D27" i="6"/>
  <c r="D28" i="6" s="1"/>
  <c r="D30" i="6" s="1"/>
  <c r="C27" i="6"/>
  <c r="B27" i="6"/>
  <c r="K26" i="6"/>
  <c r="L26" i="6" s="1"/>
  <c r="M26" i="6" s="1"/>
  <c r="N26" i="6" s="1"/>
  <c r="K25" i="6"/>
  <c r="L25" i="6" s="1"/>
  <c r="I25" i="6"/>
  <c r="H25" i="6"/>
  <c r="G25" i="6"/>
  <c r="F25" i="6"/>
  <c r="E25" i="6"/>
  <c r="D25" i="6"/>
  <c r="C25" i="6"/>
  <c r="B25" i="6"/>
  <c r="J24" i="6"/>
  <c r="J23" i="6" s="1"/>
  <c r="I24" i="6"/>
  <c r="I26" i="6" s="1"/>
  <c r="H24" i="6"/>
  <c r="H26" i="6" s="1"/>
  <c r="D24" i="6"/>
  <c r="D26" i="6" s="1"/>
  <c r="I23" i="6"/>
  <c r="H23" i="6"/>
  <c r="G23" i="6"/>
  <c r="F23" i="6"/>
  <c r="E23" i="6"/>
  <c r="D23" i="6"/>
  <c r="C23" i="6"/>
  <c r="B23" i="6"/>
  <c r="I21" i="6"/>
  <c r="H21" i="6"/>
  <c r="H40" i="6" s="1"/>
  <c r="G21" i="6"/>
  <c r="G50" i="6" s="1"/>
  <c r="D21" i="6"/>
  <c r="A20" i="6"/>
  <c r="D17" i="6"/>
  <c r="E11" i="6"/>
  <c r="D8" i="6"/>
  <c r="D47" i="7" s="1"/>
  <c r="C8" i="6"/>
  <c r="C47" i="7" s="1"/>
  <c r="K1" i="6"/>
  <c r="L1" i="6" s="1"/>
  <c r="M1" i="6" s="1"/>
  <c r="N1" i="6" s="1"/>
  <c r="J1" i="6"/>
  <c r="H1" i="6"/>
  <c r="G1" i="6"/>
  <c r="F1" i="6" s="1"/>
  <c r="E1" i="6" s="1"/>
  <c r="D1" i="6" s="1"/>
  <c r="C1" i="6"/>
  <c r="B1" i="6" s="1"/>
  <c r="F180" i="5"/>
  <c r="E180" i="5"/>
  <c r="D180" i="5"/>
  <c r="I179" i="5"/>
  <c r="I180" i="5" s="1"/>
  <c r="H179" i="5"/>
  <c r="H180" i="5" s="1"/>
  <c r="G179" i="5"/>
  <c r="G180" i="5" s="1"/>
  <c r="D179" i="5"/>
  <c r="C179" i="5"/>
  <c r="C180" i="5" s="1"/>
  <c r="I176" i="5"/>
  <c r="H176" i="5"/>
  <c r="G176" i="5"/>
  <c r="F176" i="5"/>
  <c r="F179" i="5" s="1"/>
  <c r="E176" i="5"/>
  <c r="E179" i="5" s="1"/>
  <c r="C176" i="5"/>
  <c r="B172" i="5"/>
  <c r="E169" i="5"/>
  <c r="E168" i="5"/>
  <c r="D168" i="5"/>
  <c r="D169" i="5" s="1"/>
  <c r="H167" i="5"/>
  <c r="H211" i="6" s="1"/>
  <c r="G167" i="5"/>
  <c r="G211" i="6" s="1"/>
  <c r="F167" i="5"/>
  <c r="F211" i="6" s="1"/>
  <c r="E167" i="5"/>
  <c r="D167" i="5"/>
  <c r="D211" i="6" s="1"/>
  <c r="D213" i="6" s="1"/>
  <c r="I165" i="5"/>
  <c r="H165" i="5"/>
  <c r="G165" i="5"/>
  <c r="F165" i="5"/>
  <c r="E165" i="5"/>
  <c r="D165" i="5"/>
  <c r="C165" i="5"/>
  <c r="B161" i="5"/>
  <c r="B76" i="6" s="1"/>
  <c r="H157" i="5"/>
  <c r="H158" i="5" s="1"/>
  <c r="G157" i="5"/>
  <c r="G158" i="5" s="1"/>
  <c r="D157" i="5"/>
  <c r="D158" i="5" s="1"/>
  <c r="C157" i="5"/>
  <c r="C158" i="5" s="1"/>
  <c r="G156" i="5"/>
  <c r="I154" i="5"/>
  <c r="I157" i="5" s="1"/>
  <c r="I158" i="5" s="1"/>
  <c r="H154" i="5"/>
  <c r="G154" i="5"/>
  <c r="F154" i="5"/>
  <c r="F157" i="5" s="1"/>
  <c r="F158" i="5" s="1"/>
  <c r="E154" i="5"/>
  <c r="E157" i="5" s="1"/>
  <c r="E158" i="5" s="1"/>
  <c r="D154" i="5"/>
  <c r="C150" i="5"/>
  <c r="C154" i="5" s="1"/>
  <c r="B150" i="5"/>
  <c r="G146" i="5"/>
  <c r="G147" i="5" s="1"/>
  <c r="F146" i="5"/>
  <c r="E146" i="5"/>
  <c r="E147" i="5" s="1"/>
  <c r="D146" i="5"/>
  <c r="D147" i="5" s="1"/>
  <c r="C146" i="5"/>
  <c r="C147" i="5" s="1"/>
  <c r="I143" i="5"/>
  <c r="I146" i="5" s="1"/>
  <c r="H143" i="5"/>
  <c r="H146" i="5" s="1"/>
  <c r="G143" i="5"/>
  <c r="F143" i="5"/>
  <c r="E143" i="5"/>
  <c r="D143" i="5"/>
  <c r="C143" i="5"/>
  <c r="B139" i="5"/>
  <c r="C136" i="5"/>
  <c r="F135" i="5"/>
  <c r="F136" i="5" s="1"/>
  <c r="D135" i="5"/>
  <c r="D136" i="5" s="1"/>
  <c r="C135" i="5"/>
  <c r="G132" i="5"/>
  <c r="G174" i="6" s="1"/>
  <c r="F132" i="5"/>
  <c r="F174" i="6" s="1"/>
  <c r="E132" i="5"/>
  <c r="E174" i="6" s="1"/>
  <c r="D132" i="5"/>
  <c r="D174" i="6" s="1"/>
  <c r="D175" i="6" s="1"/>
  <c r="D177" i="6" s="1"/>
  <c r="C132" i="5"/>
  <c r="C174" i="6" s="1"/>
  <c r="G131" i="5"/>
  <c r="G170" i="6" s="1"/>
  <c r="F131" i="5"/>
  <c r="F170" i="6" s="1"/>
  <c r="E131" i="5"/>
  <c r="D131" i="5"/>
  <c r="D170" i="6" s="1"/>
  <c r="C131" i="5"/>
  <c r="G130" i="5"/>
  <c r="G166" i="6" s="1"/>
  <c r="F130" i="5"/>
  <c r="F166" i="6" s="1"/>
  <c r="E130" i="5"/>
  <c r="E166" i="6" s="1"/>
  <c r="D130" i="5"/>
  <c r="D166" i="6" s="1"/>
  <c r="C130" i="5"/>
  <c r="C166" i="6" s="1"/>
  <c r="B130" i="5"/>
  <c r="I129" i="5"/>
  <c r="H129" i="5"/>
  <c r="I128" i="5"/>
  <c r="I135" i="5" s="1"/>
  <c r="I136" i="5" s="1"/>
  <c r="H128" i="5"/>
  <c r="H135" i="5" s="1"/>
  <c r="H136" i="5" s="1"/>
  <c r="G128" i="5"/>
  <c r="G135" i="5" s="1"/>
  <c r="G136" i="5" s="1"/>
  <c r="F128" i="5"/>
  <c r="E128" i="5"/>
  <c r="E135" i="5" s="1"/>
  <c r="E136" i="5" s="1"/>
  <c r="D128" i="5"/>
  <c r="C128" i="5"/>
  <c r="I123" i="5"/>
  <c r="H123" i="5"/>
  <c r="I119" i="5"/>
  <c r="H119" i="5"/>
  <c r="B118" i="5"/>
  <c r="B62" i="6" s="1"/>
  <c r="B117" i="5"/>
  <c r="B131" i="5" s="1"/>
  <c r="B116" i="5"/>
  <c r="B54" i="6" s="1"/>
  <c r="I115" i="5"/>
  <c r="H115" i="5"/>
  <c r="B115" i="5"/>
  <c r="B128" i="5" s="1"/>
  <c r="B135" i="5" s="1"/>
  <c r="I111" i="5"/>
  <c r="H111" i="5"/>
  <c r="G101" i="5"/>
  <c r="F101" i="5"/>
  <c r="E101" i="5"/>
  <c r="D101" i="5"/>
  <c r="C101" i="5"/>
  <c r="B101" i="5"/>
  <c r="F98" i="5"/>
  <c r="I96" i="5"/>
  <c r="H96" i="5"/>
  <c r="G96" i="5"/>
  <c r="F96" i="5"/>
  <c r="E96" i="5"/>
  <c r="D96" i="5"/>
  <c r="C96" i="5"/>
  <c r="B96" i="5"/>
  <c r="I85" i="5"/>
  <c r="H85" i="5"/>
  <c r="G85" i="5"/>
  <c r="G98" i="5" s="1"/>
  <c r="F85" i="5"/>
  <c r="E85" i="5"/>
  <c r="E98" i="5" s="1"/>
  <c r="D85" i="5"/>
  <c r="D98" i="5" s="1"/>
  <c r="C85" i="5"/>
  <c r="B85" i="5"/>
  <c r="G76" i="5"/>
  <c r="F76" i="5"/>
  <c r="E76" i="5"/>
  <c r="D76" i="5"/>
  <c r="C76" i="5"/>
  <c r="B76" i="5"/>
  <c r="G59" i="5"/>
  <c r="F59" i="5"/>
  <c r="F60" i="5" s="1"/>
  <c r="D59" i="5"/>
  <c r="I58" i="5"/>
  <c r="H58" i="5"/>
  <c r="G58" i="5"/>
  <c r="F58" i="5"/>
  <c r="E58" i="5"/>
  <c r="E59" i="5" s="1"/>
  <c r="E60" i="5" s="1"/>
  <c r="D58" i="5"/>
  <c r="C58" i="5"/>
  <c r="B58" i="5"/>
  <c r="B59" i="5" s="1"/>
  <c r="B60" i="5" s="1"/>
  <c r="I45" i="5"/>
  <c r="I59" i="5" s="1"/>
  <c r="H45" i="5"/>
  <c r="H59" i="5" s="1"/>
  <c r="G45" i="5"/>
  <c r="F45" i="5"/>
  <c r="E45" i="5"/>
  <c r="D45" i="5"/>
  <c r="C45" i="5"/>
  <c r="C59" i="5" s="1"/>
  <c r="C60" i="5" s="1"/>
  <c r="B45" i="5"/>
  <c r="I36" i="5"/>
  <c r="I60" i="5" s="1"/>
  <c r="H36" i="5"/>
  <c r="G36" i="5"/>
  <c r="I30" i="5"/>
  <c r="H30" i="5"/>
  <c r="G30" i="5"/>
  <c r="F30" i="5"/>
  <c r="F36" i="5" s="1"/>
  <c r="E30" i="5"/>
  <c r="E36" i="5" s="1"/>
  <c r="D30" i="5"/>
  <c r="D36" i="5" s="1"/>
  <c r="D60" i="5" s="1"/>
  <c r="C30" i="5"/>
  <c r="C36" i="5" s="1"/>
  <c r="B30" i="5"/>
  <c r="B36" i="5" s="1"/>
  <c r="G12" i="5"/>
  <c r="G20" i="5" s="1"/>
  <c r="G10" i="5"/>
  <c r="G11" i="7" s="1"/>
  <c r="E10" i="5"/>
  <c r="E11" i="7" s="1"/>
  <c r="D10" i="5"/>
  <c r="D12" i="5" s="1"/>
  <c r="B10" i="5"/>
  <c r="I7" i="5"/>
  <c r="H7" i="5"/>
  <c r="H10" i="5" s="1"/>
  <c r="H11" i="7" s="1"/>
  <c r="G7" i="5"/>
  <c r="F7" i="5"/>
  <c r="F10" i="5" s="1"/>
  <c r="E7" i="5"/>
  <c r="D7" i="5"/>
  <c r="C7" i="5"/>
  <c r="B7" i="5"/>
  <c r="I4" i="5"/>
  <c r="H4" i="5"/>
  <c r="G4" i="5"/>
  <c r="F4" i="5"/>
  <c r="E4" i="5"/>
  <c r="D4" i="5"/>
  <c r="C4" i="5"/>
  <c r="C10" i="5" s="1"/>
  <c r="B4" i="5"/>
  <c r="H1" i="5"/>
  <c r="G1" i="5"/>
  <c r="F1" i="5" s="1"/>
  <c r="E1" i="5"/>
  <c r="D1" i="5"/>
  <c r="C1" i="5" s="1"/>
  <c r="B1" i="5" s="1"/>
  <c r="B84" i="6" l="1"/>
  <c r="D36" i="6"/>
  <c r="G44" i="6"/>
  <c r="C84" i="6"/>
  <c r="H44" i="6"/>
  <c r="H197" i="6"/>
  <c r="H194" i="6"/>
  <c r="F112" i="6"/>
  <c r="K117" i="6"/>
  <c r="K167" i="6"/>
  <c r="K166" i="6" s="1"/>
  <c r="L166" i="6" s="1"/>
  <c r="K175" i="6"/>
  <c r="F140" i="6"/>
  <c r="F137" i="6"/>
  <c r="C36" i="6"/>
  <c r="K31" i="6"/>
  <c r="H191" i="6"/>
  <c r="G109" i="6"/>
  <c r="G84" i="6"/>
  <c r="L143" i="6"/>
  <c r="M143" i="6" s="1"/>
  <c r="N143" i="6" s="1"/>
  <c r="N142" i="6" s="1"/>
  <c r="G67" i="6"/>
  <c r="M168" i="6"/>
  <c r="M167" i="6" s="1"/>
  <c r="L167" i="6"/>
  <c r="L122" i="6"/>
  <c r="M122" i="6" s="1"/>
  <c r="N122" i="6" s="1"/>
  <c r="N121" i="6" s="1"/>
  <c r="K24" i="6"/>
  <c r="K23" i="6" s="1"/>
  <c r="C102" i="6"/>
  <c r="J164" i="6"/>
  <c r="J195" i="6" s="1"/>
  <c r="J185" i="6" s="1"/>
  <c r="K86" i="6"/>
  <c r="K85" i="6" s="1"/>
  <c r="B106" i="6"/>
  <c r="K120" i="6"/>
  <c r="D127" i="6"/>
  <c r="L33" i="6"/>
  <c r="L32" i="6" s="1"/>
  <c r="N171" i="6"/>
  <c r="G40" i="6"/>
  <c r="B30" i="6"/>
  <c r="B57" i="6"/>
  <c r="K174" i="6"/>
  <c r="I22" i="6"/>
  <c r="I40" i="6"/>
  <c r="F78" i="6"/>
  <c r="G13" i="7"/>
  <c r="B31" i="7"/>
  <c r="C31" i="7"/>
  <c r="H13" i="7"/>
  <c r="G60" i="7"/>
  <c r="I64" i="7"/>
  <c r="H64" i="7"/>
  <c r="G31" i="7"/>
  <c r="J48" i="7"/>
  <c r="H55" i="7"/>
  <c r="C66" i="6"/>
  <c r="E175" i="6"/>
  <c r="E177" i="6" s="1"/>
  <c r="I59" i="6"/>
  <c r="I61" i="6" s="1"/>
  <c r="H59" i="6"/>
  <c r="H61" i="6" s="1"/>
  <c r="J65" i="7"/>
  <c r="H147" i="6"/>
  <c r="I155" i="6"/>
  <c r="H155" i="6"/>
  <c r="H156" i="6"/>
  <c r="M25" i="6"/>
  <c r="L24" i="6"/>
  <c r="G213" i="6"/>
  <c r="G212" i="6"/>
  <c r="E24" i="6"/>
  <c r="E26" i="6" s="1"/>
  <c r="E21" i="6"/>
  <c r="E50" i="6" s="1"/>
  <c r="G24" i="6"/>
  <c r="G26" i="6" s="1"/>
  <c r="F24" i="6"/>
  <c r="F26" i="6" s="1"/>
  <c r="F21" i="6"/>
  <c r="G22" i="6" s="1"/>
  <c r="H206" i="6"/>
  <c r="C167" i="6"/>
  <c r="C169" i="6" s="1"/>
  <c r="D9" i="6"/>
  <c r="D6" i="7"/>
  <c r="F99" i="6"/>
  <c r="F98" i="6"/>
  <c r="G168" i="5"/>
  <c r="G169" i="5" s="1"/>
  <c r="F175" i="6"/>
  <c r="F177" i="6" s="1"/>
  <c r="C32" i="6"/>
  <c r="C34" i="6" s="1"/>
  <c r="B32" i="6"/>
  <c r="B34" i="6" s="1"/>
  <c r="M171" i="6"/>
  <c r="C207" i="6"/>
  <c r="C205" i="6"/>
  <c r="D205" i="6"/>
  <c r="C206" i="6"/>
  <c r="B216" i="6"/>
  <c r="B215" i="6"/>
  <c r="D197" i="6"/>
  <c r="D187" i="6"/>
  <c r="H46" i="6"/>
  <c r="H47" i="6"/>
  <c r="I47" i="6"/>
  <c r="J47" i="6" s="1"/>
  <c r="K47" i="6" s="1"/>
  <c r="L47" i="6" s="1"/>
  <c r="M47" i="6" s="1"/>
  <c r="N47" i="6" s="1"/>
  <c r="I46" i="6"/>
  <c r="E74" i="6"/>
  <c r="D66" i="6"/>
  <c r="D74" i="6"/>
  <c r="H200" i="6"/>
  <c r="G147" i="6"/>
  <c r="G155" i="6"/>
  <c r="G156" i="6"/>
  <c r="B24" i="6"/>
  <c r="B21" i="6"/>
  <c r="C22" i="6" s="1"/>
  <c r="C117" i="6"/>
  <c r="C119" i="6" s="1"/>
  <c r="K188" i="6"/>
  <c r="C6" i="7"/>
  <c r="E99" i="6"/>
  <c r="E98" i="6"/>
  <c r="C11" i="6"/>
  <c r="L171" i="6"/>
  <c r="B207" i="6"/>
  <c r="B205" i="6"/>
  <c r="B206" i="6"/>
  <c r="I147" i="5"/>
  <c r="D11" i="6"/>
  <c r="E7" i="7"/>
  <c r="E46" i="7"/>
  <c r="E12" i="6"/>
  <c r="N91" i="6"/>
  <c r="C106" i="6"/>
  <c r="C97" i="6"/>
  <c r="D98" i="6" s="1"/>
  <c r="C105" i="6"/>
  <c r="E165" i="6"/>
  <c r="E197" i="6"/>
  <c r="F156" i="6"/>
  <c r="F147" i="6"/>
  <c r="F155" i="6"/>
  <c r="N134" i="6"/>
  <c r="J199" i="6"/>
  <c r="I200" i="6"/>
  <c r="I206" i="6"/>
  <c r="C115" i="6"/>
  <c r="C137" i="6"/>
  <c r="J62" i="7"/>
  <c r="G64" i="7"/>
  <c r="I52" i="6"/>
  <c r="I78" i="6" s="1"/>
  <c r="J78" i="6" s="1"/>
  <c r="K78" i="6" s="1"/>
  <c r="L78" i="6" s="1"/>
  <c r="M78" i="6" s="1"/>
  <c r="N78" i="6" s="1"/>
  <c r="I63" i="6"/>
  <c r="I65" i="6" s="1"/>
  <c r="J62" i="6"/>
  <c r="E151" i="6"/>
  <c r="E153" i="6"/>
  <c r="E152" i="6"/>
  <c r="F213" i="6"/>
  <c r="F212" i="6"/>
  <c r="F151" i="6"/>
  <c r="F153" i="6"/>
  <c r="F152" i="6"/>
  <c r="F8" i="6"/>
  <c r="B117" i="6"/>
  <c r="B119" i="6" s="1"/>
  <c r="B114" i="6"/>
  <c r="H213" i="6"/>
  <c r="H212" i="6"/>
  <c r="D184" i="6"/>
  <c r="J145" i="6"/>
  <c r="I146" i="6"/>
  <c r="I156" i="6"/>
  <c r="K38" i="7"/>
  <c r="L38" i="7" s="1"/>
  <c r="G47" i="6"/>
  <c r="G14" i="6"/>
  <c r="H15" i="6" s="1"/>
  <c r="G46" i="6"/>
  <c r="G80" i="6"/>
  <c r="G17" i="6"/>
  <c r="H80" i="6"/>
  <c r="I44" i="6"/>
  <c r="I35" i="6"/>
  <c r="I43" i="6"/>
  <c r="L180" i="6"/>
  <c r="K179" i="6"/>
  <c r="K178" i="6" s="1"/>
  <c r="G153" i="6"/>
  <c r="G152" i="6"/>
  <c r="G8" i="6"/>
  <c r="H136" i="6"/>
  <c r="G136" i="6"/>
  <c r="I210" i="6"/>
  <c r="E72" i="6"/>
  <c r="E70" i="6"/>
  <c r="E66" i="6"/>
  <c r="E8" i="6"/>
  <c r="D114" i="6"/>
  <c r="D137" i="6" s="1"/>
  <c r="D117" i="6"/>
  <c r="D119" i="6" s="1"/>
  <c r="K171" i="6"/>
  <c r="K170" i="6" s="1"/>
  <c r="F11" i="7"/>
  <c r="F13" i="7" s="1"/>
  <c r="F147" i="5"/>
  <c r="F12" i="5"/>
  <c r="F11" i="6"/>
  <c r="F130" i="6"/>
  <c r="C98" i="5"/>
  <c r="H171" i="6"/>
  <c r="H173" i="6" s="1"/>
  <c r="G171" i="6"/>
  <c r="G173" i="6" s="1"/>
  <c r="I11" i="6"/>
  <c r="K63" i="6"/>
  <c r="L64" i="6"/>
  <c r="H72" i="6"/>
  <c r="G128" i="6"/>
  <c r="H129" i="6" s="1"/>
  <c r="C164" i="6"/>
  <c r="C191" i="6" s="1"/>
  <c r="B43" i="7"/>
  <c r="B11" i="7"/>
  <c r="B13" i="7" s="1"/>
  <c r="B12" i="5"/>
  <c r="C40" i="6"/>
  <c r="C37" i="6"/>
  <c r="C50" i="6"/>
  <c r="D86" i="6"/>
  <c r="D88" i="6" s="1"/>
  <c r="D83" i="6"/>
  <c r="E84" i="6" s="1"/>
  <c r="E86" i="6"/>
  <c r="E88" i="6" s="1"/>
  <c r="I108" i="6"/>
  <c r="H108" i="6"/>
  <c r="N118" i="6"/>
  <c r="D14" i="7"/>
  <c r="D20" i="5"/>
  <c r="D40" i="6"/>
  <c r="D22" i="6"/>
  <c r="D50" i="6"/>
  <c r="D44" i="6"/>
  <c r="K25" i="7"/>
  <c r="F31" i="7"/>
  <c r="B77" i="6"/>
  <c r="C77" i="6"/>
  <c r="N56" i="6"/>
  <c r="N55" i="6" s="1"/>
  <c r="M55" i="6"/>
  <c r="M92" i="6"/>
  <c r="N92" i="6" s="1"/>
  <c r="L90" i="6"/>
  <c r="G117" i="6"/>
  <c r="G119" i="6" s="1"/>
  <c r="G114" i="6"/>
  <c r="G133" i="6" s="1"/>
  <c r="E216" i="6"/>
  <c r="E215" i="6"/>
  <c r="G60" i="5"/>
  <c r="B165" i="5"/>
  <c r="H117" i="6"/>
  <c r="H119" i="6" s="1"/>
  <c r="H114" i="6"/>
  <c r="H130" i="6" s="1"/>
  <c r="B190" i="6"/>
  <c r="B182" i="6"/>
  <c r="E13" i="7"/>
  <c r="D31" i="7"/>
  <c r="B136" i="5"/>
  <c r="C167" i="5"/>
  <c r="C211" i="6" s="1"/>
  <c r="G41" i="6"/>
  <c r="G39" i="6"/>
  <c r="L50" i="6"/>
  <c r="I117" i="6"/>
  <c r="I119" i="6" s="1"/>
  <c r="I114" i="6"/>
  <c r="B166" i="6"/>
  <c r="C190" i="6"/>
  <c r="C182" i="6"/>
  <c r="G215" i="6"/>
  <c r="G216" i="6"/>
  <c r="J28" i="7"/>
  <c r="D11" i="7"/>
  <c r="D13" i="7" s="1"/>
  <c r="C12" i="5"/>
  <c r="C11" i="7"/>
  <c r="C13" i="7" s="1"/>
  <c r="E12" i="5"/>
  <c r="D167" i="6"/>
  <c r="D169" i="6" s="1"/>
  <c r="J21" i="6"/>
  <c r="G34" i="6"/>
  <c r="D37" i="6"/>
  <c r="H41" i="6"/>
  <c r="H39" i="6"/>
  <c r="H35" i="6"/>
  <c r="H8" i="6"/>
  <c r="C44" i="6"/>
  <c r="K90" i="6"/>
  <c r="K89" i="6" s="1"/>
  <c r="J116" i="6"/>
  <c r="L117" i="6"/>
  <c r="M119" i="6"/>
  <c r="N119" i="6" s="1"/>
  <c r="F125" i="6"/>
  <c r="F127" i="6" s="1"/>
  <c r="E114" i="6"/>
  <c r="F115" i="6" s="1"/>
  <c r="D148" i="6"/>
  <c r="D190" i="6"/>
  <c r="D191" i="6"/>
  <c r="G203" i="6"/>
  <c r="H215" i="6"/>
  <c r="H207" i="6"/>
  <c r="C39" i="7"/>
  <c r="C43" i="7" s="1"/>
  <c r="C79" i="6"/>
  <c r="G161" i="6"/>
  <c r="G162" i="6"/>
  <c r="E186" i="6"/>
  <c r="E188" i="6"/>
  <c r="E187" i="6"/>
  <c r="E191" i="6"/>
  <c r="F190" i="6"/>
  <c r="E190" i="6"/>
  <c r="E182" i="6"/>
  <c r="I207" i="6"/>
  <c r="J207" i="6" s="1"/>
  <c r="I216" i="6"/>
  <c r="J216" i="6" s="1"/>
  <c r="D39" i="7"/>
  <c r="D43" i="7" s="1"/>
  <c r="G164" i="6"/>
  <c r="G187" i="6" s="1"/>
  <c r="G167" i="6"/>
  <c r="G169" i="6" s="1"/>
  <c r="G35" i="6"/>
  <c r="E57" i="6"/>
  <c r="E109" i="6"/>
  <c r="F84" i="6"/>
  <c r="L86" i="6"/>
  <c r="M88" i="6"/>
  <c r="D52" i="6"/>
  <c r="D78" i="6" s="1"/>
  <c r="D59" i="6"/>
  <c r="D61" i="6" s="1"/>
  <c r="D72" i="6"/>
  <c r="B139" i="6"/>
  <c r="B161" i="6"/>
  <c r="C14" i="6"/>
  <c r="E46" i="6"/>
  <c r="D46" i="6"/>
  <c r="D14" i="6"/>
  <c r="D47" i="6"/>
  <c r="H49" i="6"/>
  <c r="H17" i="6"/>
  <c r="H50" i="6"/>
  <c r="F59" i="6"/>
  <c r="F61" i="6" s="1"/>
  <c r="E59" i="6"/>
  <c r="E61" i="6" s="1"/>
  <c r="F68" i="6"/>
  <c r="E80" i="6"/>
  <c r="I83" i="6"/>
  <c r="I106" i="6" s="1"/>
  <c r="I94" i="6"/>
  <c r="I96" i="6" s="1"/>
  <c r="J93" i="6"/>
  <c r="J83" i="6" s="1"/>
  <c r="E134" i="6"/>
  <c r="E132" i="6"/>
  <c r="E128" i="6"/>
  <c r="F129" i="6" s="1"/>
  <c r="C139" i="6"/>
  <c r="C140" i="6"/>
  <c r="B158" i="6"/>
  <c r="C161" i="6"/>
  <c r="I190" i="6"/>
  <c r="I182" i="6"/>
  <c r="K196" i="6"/>
  <c r="L197" i="6"/>
  <c r="H216" i="6"/>
  <c r="C51" i="7"/>
  <c r="E36" i="6"/>
  <c r="I8" i="6"/>
  <c r="I41" i="6"/>
  <c r="J41" i="6" s="1"/>
  <c r="L80" i="6"/>
  <c r="M81" i="6"/>
  <c r="B102" i="6"/>
  <c r="B103" i="6"/>
  <c r="C101" i="6"/>
  <c r="B101" i="6"/>
  <c r="B143" i="5"/>
  <c r="B146" i="5" s="1"/>
  <c r="B147" i="5" s="1"/>
  <c r="B73" i="6"/>
  <c r="F168" i="5"/>
  <c r="F169" i="5" s="1"/>
  <c r="E28" i="6"/>
  <c r="E30" i="6" s="1"/>
  <c r="F36" i="6"/>
  <c r="F49" i="6"/>
  <c r="I105" i="6"/>
  <c r="H161" i="6"/>
  <c r="H162" i="6"/>
  <c r="F186" i="6"/>
  <c r="F188" i="6"/>
  <c r="F182" i="6"/>
  <c r="G183" i="6" s="1"/>
  <c r="I215" i="6"/>
  <c r="E17" i="6"/>
  <c r="F28" i="6"/>
  <c r="F30" i="6" s="1"/>
  <c r="C52" i="6"/>
  <c r="C75" i="6" s="1"/>
  <c r="C59" i="6"/>
  <c r="C61" i="6" s="1"/>
  <c r="D103" i="6"/>
  <c r="E101" i="6"/>
  <c r="C132" i="6"/>
  <c r="C128" i="6"/>
  <c r="C133" i="6"/>
  <c r="B147" i="6"/>
  <c r="B156" i="6"/>
  <c r="C155" i="6"/>
  <c r="I162" i="6"/>
  <c r="J162" i="6" s="1"/>
  <c r="I161" i="6"/>
  <c r="C171" i="6"/>
  <c r="C173" i="6" s="1"/>
  <c r="G186" i="6"/>
  <c r="G188" i="6"/>
  <c r="H60" i="5"/>
  <c r="I10" i="5"/>
  <c r="B98" i="5"/>
  <c r="I49" i="6"/>
  <c r="K55" i="6"/>
  <c r="F80" i="6"/>
  <c r="F17" i="6"/>
  <c r="N112" i="6"/>
  <c r="N111" i="6" s="1"/>
  <c r="M125" i="6"/>
  <c r="F133" i="6"/>
  <c r="G132" i="6"/>
  <c r="F134" i="6"/>
  <c r="F132" i="6"/>
  <c r="E139" i="6"/>
  <c r="D139" i="6"/>
  <c r="E156" i="6"/>
  <c r="E155" i="6"/>
  <c r="E147" i="6"/>
  <c r="C158" i="6"/>
  <c r="H202" i="6"/>
  <c r="C63" i="6"/>
  <c r="C65" i="6" s="1"/>
  <c r="B63" i="6"/>
  <c r="B65" i="6" s="1"/>
  <c r="B79" i="6"/>
  <c r="B154" i="5"/>
  <c r="B157" i="5" s="1"/>
  <c r="B158" i="5" s="1"/>
  <c r="L29" i="6"/>
  <c r="K28" i="6"/>
  <c r="K27" i="6" s="1"/>
  <c r="I80" i="6"/>
  <c r="B97" i="6"/>
  <c r="B105" i="6"/>
  <c r="C179" i="6"/>
  <c r="C181" i="6" s="1"/>
  <c r="H51" i="7"/>
  <c r="J37" i="7"/>
  <c r="G142" i="6"/>
  <c r="G207" i="6"/>
  <c r="G205" i="6"/>
  <c r="G206" i="6"/>
  <c r="H205" i="6"/>
  <c r="E213" i="6"/>
  <c r="E212" i="6"/>
  <c r="J59" i="7"/>
  <c r="E64" i="7"/>
  <c r="E60" i="7"/>
  <c r="D171" i="6"/>
  <c r="D173" i="6" s="1"/>
  <c r="H12" i="5"/>
  <c r="H147" i="5"/>
  <c r="H168" i="5"/>
  <c r="H169" i="5" s="1"/>
  <c r="B69" i="6"/>
  <c r="B176" i="5"/>
  <c r="B179" i="5" s="1"/>
  <c r="B180" i="5" s="1"/>
  <c r="E52" i="6"/>
  <c r="E75" i="6" s="1"/>
  <c r="I74" i="6"/>
  <c r="H74" i="6"/>
  <c r="H11" i="6"/>
  <c r="H66" i="6"/>
  <c r="I77" i="6"/>
  <c r="E112" i="6"/>
  <c r="I142" i="6"/>
  <c r="H142" i="6"/>
  <c r="C201" i="6"/>
  <c r="C203" i="6" s="1"/>
  <c r="J21" i="7"/>
  <c r="K21" i="7" s="1"/>
  <c r="I39" i="7"/>
  <c r="I43" i="7" s="1"/>
  <c r="F64" i="7"/>
  <c r="F60" i="7"/>
  <c r="I167" i="5"/>
  <c r="I211" i="6" s="1"/>
  <c r="I14" i="6" s="1"/>
  <c r="H31" i="7"/>
  <c r="G52" i="6"/>
  <c r="G78" i="6" s="1"/>
  <c r="G55" i="6"/>
  <c r="G57" i="6" s="1"/>
  <c r="G97" i="6"/>
  <c r="G105" i="6"/>
  <c r="G11" i="6"/>
  <c r="G106" i="6"/>
  <c r="F14" i="6"/>
  <c r="F109" i="6"/>
  <c r="G112" i="6"/>
  <c r="G111" i="6"/>
  <c r="G103" i="6"/>
  <c r="E201" i="6"/>
  <c r="E209" i="6"/>
  <c r="I31" i="7"/>
  <c r="B132" i="5"/>
  <c r="B174" i="6" s="1"/>
  <c r="C175" i="6" s="1"/>
  <c r="C177" i="6" s="1"/>
  <c r="F43" i="6"/>
  <c r="C46" i="6"/>
  <c r="C47" i="6"/>
  <c r="H105" i="6"/>
  <c r="H97" i="6"/>
  <c r="I98" i="6" s="1"/>
  <c r="H103" i="6"/>
  <c r="H111" i="6"/>
  <c r="L125" i="6"/>
  <c r="F201" i="6"/>
  <c r="G202" i="6" s="1"/>
  <c r="F209" i="6"/>
  <c r="E167" i="6"/>
  <c r="E169" i="6" s="1"/>
  <c r="C24" i="6"/>
  <c r="C26" i="6" s="1"/>
  <c r="H34" i="6"/>
  <c r="F70" i="6"/>
  <c r="F71" i="6"/>
  <c r="L95" i="6"/>
  <c r="K94" i="6"/>
  <c r="F171" i="6"/>
  <c r="F173" i="6" s="1"/>
  <c r="E171" i="6"/>
  <c r="E173" i="6" s="1"/>
  <c r="G210" i="6"/>
  <c r="G209" i="6"/>
  <c r="H209" i="6"/>
  <c r="B52" i="6"/>
  <c r="B53" i="6" s="1"/>
  <c r="F167" i="6"/>
  <c r="F169" i="6" s="1"/>
  <c r="F164" i="6"/>
  <c r="F197" i="6" s="1"/>
  <c r="I34" i="6"/>
  <c r="L55" i="6"/>
  <c r="G70" i="6"/>
  <c r="I127" i="6"/>
  <c r="K125" i="6"/>
  <c r="K124" i="6" s="1"/>
  <c r="I179" i="6"/>
  <c r="I181" i="6" s="1"/>
  <c r="H210" i="6"/>
  <c r="F34" i="6"/>
  <c r="G43" i="6"/>
  <c r="C88" i="6"/>
  <c r="E117" i="6"/>
  <c r="E119" i="6" s="1"/>
  <c r="I136" i="6"/>
  <c r="I128" i="6"/>
  <c r="C215" i="6"/>
  <c r="C216" i="6"/>
  <c r="J29" i="7"/>
  <c r="K29" i="7" s="1"/>
  <c r="H22" i="6"/>
  <c r="F117" i="6"/>
  <c r="F119" i="6" s="1"/>
  <c r="F139" i="6"/>
  <c r="L176" i="6"/>
  <c r="D215" i="6"/>
  <c r="D216" i="6"/>
  <c r="H39" i="7"/>
  <c r="H43" i="7" s="1"/>
  <c r="F63" i="6"/>
  <c r="F65" i="6" s="1"/>
  <c r="F74" i="6"/>
  <c r="F75" i="6"/>
  <c r="H96" i="6"/>
  <c r="G74" i="6"/>
  <c r="E142" i="6"/>
  <c r="I164" i="6"/>
  <c r="I194" i="6" s="1"/>
  <c r="J194" i="6" s="1"/>
  <c r="I171" i="6"/>
  <c r="I173" i="6" s="1"/>
  <c r="J27" i="7"/>
  <c r="E31" i="7"/>
  <c r="J34" i="7"/>
  <c r="K34" i="7" s="1"/>
  <c r="E43" i="7"/>
  <c r="D51" i="7"/>
  <c r="G175" i="6"/>
  <c r="G177" i="6" s="1"/>
  <c r="H52" i="6"/>
  <c r="H75" i="6" s="1"/>
  <c r="H55" i="6"/>
  <c r="H57" i="6" s="1"/>
  <c r="H70" i="6"/>
  <c r="H151" i="6"/>
  <c r="H152" i="6"/>
  <c r="H153" i="6"/>
  <c r="I159" i="6"/>
  <c r="J159" i="6" s="1"/>
  <c r="K159" i="6" s="1"/>
  <c r="L159" i="6" s="1"/>
  <c r="M159" i="6" s="1"/>
  <c r="N159" i="6" s="1"/>
  <c r="E51" i="7"/>
  <c r="L25" i="7"/>
  <c r="E14" i="6"/>
  <c r="I55" i="6"/>
  <c r="I57" i="6" s="1"/>
  <c r="I72" i="6"/>
  <c r="J72" i="6" s="1"/>
  <c r="H86" i="6"/>
  <c r="H88" i="6" s="1"/>
  <c r="H83" i="6"/>
  <c r="H84" i="6" s="1"/>
  <c r="B128" i="6"/>
  <c r="B136" i="6"/>
  <c r="I152" i="6"/>
  <c r="I147" i="6"/>
  <c r="H196" i="6"/>
  <c r="G196" i="6"/>
  <c r="I201" i="6"/>
  <c r="F18" i="7"/>
  <c r="F19" i="7"/>
  <c r="F51" i="7"/>
  <c r="K59" i="6"/>
  <c r="K58" i="6" s="1"/>
  <c r="L58" i="6" s="1"/>
  <c r="M58" i="6" s="1"/>
  <c r="N58" i="6" s="1"/>
  <c r="J54" i="6"/>
  <c r="I86" i="6"/>
  <c r="I88" i="6" s="1"/>
  <c r="C112" i="6"/>
  <c r="C146" i="6"/>
  <c r="I153" i="6"/>
  <c r="J153" i="6" s="1"/>
  <c r="F161" i="6"/>
  <c r="E161" i="6"/>
  <c r="G19" i="7"/>
  <c r="H184" i="6"/>
  <c r="H183" i="6"/>
  <c r="E193" i="6"/>
  <c r="E194" i="6"/>
  <c r="F207" i="6"/>
  <c r="F215" i="6"/>
  <c r="F43" i="7"/>
  <c r="J35" i="7"/>
  <c r="K35" i="7" s="1"/>
  <c r="L35" i="7" s="1"/>
  <c r="M35" i="7" s="1"/>
  <c r="D105" i="6"/>
  <c r="I193" i="6"/>
  <c r="E106" i="6"/>
  <c r="B112" i="6"/>
  <c r="I177" i="6"/>
  <c r="K48" i="7"/>
  <c r="L48" i="7" s="1"/>
  <c r="D39" i="6"/>
  <c r="G77" i="6"/>
  <c r="G86" i="6"/>
  <c r="G88" i="6" s="1"/>
  <c r="D94" i="6"/>
  <c r="D96" i="6" s="1"/>
  <c r="F105" i="6"/>
  <c r="F106" i="6"/>
  <c r="D111" i="6"/>
  <c r="H159" i="6"/>
  <c r="I169" i="6"/>
  <c r="I66" i="6"/>
  <c r="I111" i="6"/>
  <c r="G134" i="6"/>
  <c r="H186" i="6"/>
  <c r="I19" i="7"/>
  <c r="B153" i="6"/>
  <c r="B151" i="6"/>
  <c r="H167" i="6"/>
  <c r="H169" i="6" s="1"/>
  <c r="I186" i="6"/>
  <c r="D194" i="6"/>
  <c r="C153" i="6"/>
  <c r="H175" i="6"/>
  <c r="H177" i="6" s="1"/>
  <c r="D179" i="6"/>
  <c r="D181" i="6" s="1"/>
  <c r="B210" i="6"/>
  <c r="G43" i="7"/>
  <c r="E39" i="7"/>
  <c r="E179" i="6"/>
  <c r="E181" i="6" s="1"/>
  <c r="B201" i="6"/>
  <c r="L63" i="7"/>
  <c r="C143" i="6"/>
  <c r="D201" i="6"/>
  <c r="K40" i="7"/>
  <c r="L40" i="7" s="1"/>
  <c r="M63" i="7"/>
  <c r="N63" i="7" s="1"/>
  <c r="E37" i="6" l="1"/>
  <c r="D5" i="6"/>
  <c r="H58" i="7"/>
  <c r="D99" i="6"/>
  <c r="D106" i="6"/>
  <c r="G137" i="6"/>
  <c r="E78" i="6"/>
  <c r="F37" i="6"/>
  <c r="L89" i="6"/>
  <c r="F44" i="6"/>
  <c r="I99" i="6"/>
  <c r="L31" i="6"/>
  <c r="E140" i="6"/>
  <c r="I191" i="6"/>
  <c r="M142" i="6"/>
  <c r="J165" i="6"/>
  <c r="M90" i="6"/>
  <c r="H106" i="6"/>
  <c r="B78" i="6"/>
  <c r="E5" i="6"/>
  <c r="E5" i="7" s="1"/>
  <c r="F5" i="6"/>
  <c r="F5" i="7" s="1"/>
  <c r="F67" i="6"/>
  <c r="N168" i="6"/>
  <c r="N167" i="6" s="1"/>
  <c r="L142" i="6"/>
  <c r="J182" i="6"/>
  <c r="J189" i="6" s="1"/>
  <c r="H81" i="6"/>
  <c r="D165" i="6"/>
  <c r="E143" i="6"/>
  <c r="M33" i="6"/>
  <c r="N33" i="6" s="1"/>
  <c r="N32" i="6" s="1"/>
  <c r="H143" i="6"/>
  <c r="E133" i="6"/>
  <c r="H102" i="6"/>
  <c r="L121" i="6"/>
  <c r="L120" i="6" s="1"/>
  <c r="H109" i="6"/>
  <c r="M121" i="6"/>
  <c r="L124" i="6"/>
  <c r="M124" i="6" s="1"/>
  <c r="N124" i="6" s="1"/>
  <c r="M25" i="7"/>
  <c r="L34" i="7"/>
  <c r="M34" i="7" s="1"/>
  <c r="N34" i="7" s="1"/>
  <c r="J187" i="6"/>
  <c r="J186" i="6"/>
  <c r="K194" i="6"/>
  <c r="L194" i="6" s="1"/>
  <c r="M194" i="6" s="1"/>
  <c r="N194" i="6" s="1"/>
  <c r="J192" i="6"/>
  <c r="J193" i="6" s="1"/>
  <c r="I55" i="7"/>
  <c r="I15" i="6"/>
  <c r="L62" i="7"/>
  <c r="I129" i="6"/>
  <c r="I130" i="6"/>
  <c r="G98" i="6"/>
  <c r="G99" i="6"/>
  <c r="J60" i="7"/>
  <c r="K59" i="7"/>
  <c r="G47" i="7"/>
  <c r="G6" i="7"/>
  <c r="G9" i="6"/>
  <c r="B148" i="6"/>
  <c r="B149" i="6"/>
  <c r="C183" i="6"/>
  <c r="C184" i="6"/>
  <c r="B14" i="7"/>
  <c r="B20" i="5"/>
  <c r="K199" i="6"/>
  <c r="J214" i="6"/>
  <c r="J204" i="6" s="1"/>
  <c r="J200" i="6"/>
  <c r="K164" i="6"/>
  <c r="L170" i="6"/>
  <c r="M170" i="6" s="1"/>
  <c r="N170" i="6" s="1"/>
  <c r="J84" i="6"/>
  <c r="J110" i="6"/>
  <c r="J100" i="6" s="1"/>
  <c r="J97" i="6"/>
  <c r="C129" i="6"/>
  <c r="C130" i="6"/>
  <c r="D129" i="6"/>
  <c r="B167" i="5"/>
  <c r="D55" i="7"/>
  <c r="D15" i="6"/>
  <c r="C148" i="6"/>
  <c r="G148" i="6"/>
  <c r="G149" i="6"/>
  <c r="I168" i="5"/>
  <c r="I169" i="5" s="1"/>
  <c r="B74" i="6"/>
  <c r="B11" i="6"/>
  <c r="C12" i="6" s="1"/>
  <c r="B75" i="6"/>
  <c r="B66" i="6"/>
  <c r="G5" i="7"/>
  <c r="G36" i="6"/>
  <c r="G37" i="6"/>
  <c r="G5" i="6"/>
  <c r="C194" i="6"/>
  <c r="C187" i="6"/>
  <c r="M180" i="6"/>
  <c r="L179" i="6"/>
  <c r="L178" i="6" s="1"/>
  <c r="I115" i="6"/>
  <c r="I133" i="6"/>
  <c r="I137" i="6"/>
  <c r="I140" i="6"/>
  <c r="J140" i="6" s="1"/>
  <c r="K140" i="6" s="1"/>
  <c r="L140" i="6" s="1"/>
  <c r="M140" i="6" s="1"/>
  <c r="N140" i="6" s="1"/>
  <c r="E203" i="6"/>
  <c r="E202" i="6"/>
  <c r="C71" i="6"/>
  <c r="C53" i="6"/>
  <c r="J45" i="6"/>
  <c r="J35" i="6"/>
  <c r="J22" i="6"/>
  <c r="J48" i="6"/>
  <c r="J38" i="6" s="1"/>
  <c r="M50" i="6"/>
  <c r="L49" i="6"/>
  <c r="G184" i="6"/>
  <c r="C74" i="6"/>
  <c r="D202" i="6"/>
  <c r="D203" i="6"/>
  <c r="K153" i="6"/>
  <c r="I149" i="6"/>
  <c r="J149" i="6" s="1"/>
  <c r="K149" i="6" s="1"/>
  <c r="L149" i="6" s="1"/>
  <c r="M149" i="6" s="1"/>
  <c r="N149" i="6" s="1"/>
  <c r="I148" i="6"/>
  <c r="F202" i="6"/>
  <c r="F203" i="6"/>
  <c r="E130" i="6"/>
  <c r="E129" i="6"/>
  <c r="K21" i="6"/>
  <c r="L23" i="6"/>
  <c r="M117" i="6"/>
  <c r="L63" i="6"/>
  <c r="M64" i="6"/>
  <c r="D115" i="6"/>
  <c r="D143" i="6"/>
  <c r="D133" i="6"/>
  <c r="D130" i="6"/>
  <c r="K62" i="6"/>
  <c r="D75" i="6"/>
  <c r="E49" i="7"/>
  <c r="B99" i="6"/>
  <c r="B98" i="6"/>
  <c r="D7" i="7"/>
  <c r="D46" i="7"/>
  <c r="D49" i="7" s="1"/>
  <c r="D12" i="6"/>
  <c r="L175" i="6"/>
  <c r="L174" i="6" s="1"/>
  <c r="M176" i="6"/>
  <c r="K22" i="7"/>
  <c r="H3" i="6"/>
  <c r="H19" i="6" s="1"/>
  <c r="C46" i="7"/>
  <c r="C49" i="7" s="1"/>
  <c r="C7" i="7"/>
  <c r="C3" i="6"/>
  <c r="C13" i="6" s="1"/>
  <c r="C9" i="7" s="1"/>
  <c r="E53" i="6"/>
  <c r="F53" i="6"/>
  <c r="E81" i="6"/>
  <c r="C213" i="6"/>
  <c r="D212" i="6"/>
  <c r="I7" i="7"/>
  <c r="I46" i="7"/>
  <c r="I12" i="6"/>
  <c r="E67" i="6"/>
  <c r="E68" i="6"/>
  <c r="I75" i="6"/>
  <c r="I71" i="6"/>
  <c r="I81" i="6"/>
  <c r="I53" i="6"/>
  <c r="I3" i="6"/>
  <c r="I16" i="6" s="1"/>
  <c r="K72" i="6"/>
  <c r="H149" i="6"/>
  <c r="H148" i="6"/>
  <c r="B115" i="6"/>
  <c r="B143" i="6"/>
  <c r="B133" i="6"/>
  <c r="F47" i="7"/>
  <c r="F6" i="7"/>
  <c r="F9" i="6"/>
  <c r="L94" i="6"/>
  <c r="M95" i="6"/>
  <c r="H18" i="6"/>
  <c r="H47" i="7"/>
  <c r="H9" i="6"/>
  <c r="H6" i="7"/>
  <c r="H137" i="6"/>
  <c r="H115" i="6"/>
  <c r="H133" i="6"/>
  <c r="F7" i="7"/>
  <c r="F46" i="7"/>
  <c r="F12" i="6"/>
  <c r="F18" i="6"/>
  <c r="K27" i="7"/>
  <c r="M38" i="7"/>
  <c r="N38" i="7" s="1"/>
  <c r="I202" i="6"/>
  <c r="I203" i="6"/>
  <c r="J203" i="6" s="1"/>
  <c r="K203" i="6" s="1"/>
  <c r="L203" i="6" s="1"/>
  <c r="M203" i="6" s="1"/>
  <c r="N203" i="6" s="1"/>
  <c r="K28" i="7"/>
  <c r="E47" i="6"/>
  <c r="E40" i="6"/>
  <c r="E44" i="6"/>
  <c r="E22" i="6"/>
  <c r="E3" i="6"/>
  <c r="E16" i="6" s="1"/>
  <c r="C197" i="6"/>
  <c r="C55" i="7"/>
  <c r="I11" i="7"/>
  <c r="I13" i="7" s="1"/>
  <c r="I12" i="5"/>
  <c r="G115" i="6"/>
  <c r="G140" i="6"/>
  <c r="G143" i="6"/>
  <c r="N117" i="6"/>
  <c r="E47" i="7"/>
  <c r="E6" i="7"/>
  <c r="E9" i="6"/>
  <c r="H140" i="6"/>
  <c r="B137" i="6"/>
  <c r="F165" i="6"/>
  <c r="F194" i="6"/>
  <c r="F191" i="6"/>
  <c r="L28" i="7"/>
  <c r="E20" i="5"/>
  <c r="E14" i="7"/>
  <c r="L29" i="7"/>
  <c r="M29" i="7" s="1"/>
  <c r="K37" i="7"/>
  <c r="F187" i="6"/>
  <c r="N81" i="6"/>
  <c r="N80" i="6" s="1"/>
  <c r="M80" i="6"/>
  <c r="B140" i="6"/>
  <c r="K216" i="6"/>
  <c r="J215" i="6"/>
  <c r="C168" i="5"/>
  <c r="C169" i="5" s="1"/>
  <c r="G81" i="6"/>
  <c r="D183" i="6"/>
  <c r="L188" i="6"/>
  <c r="K162" i="6"/>
  <c r="J161" i="6"/>
  <c r="B40" i="6"/>
  <c r="B37" i="6"/>
  <c r="B47" i="6"/>
  <c r="M197" i="6"/>
  <c r="L196" i="6"/>
  <c r="H98" i="6"/>
  <c r="H99" i="6"/>
  <c r="E55" i="7"/>
  <c r="E15" i="6"/>
  <c r="N88" i="6"/>
  <c r="N86" i="6" s="1"/>
  <c r="M86" i="6"/>
  <c r="J114" i="6"/>
  <c r="K116" i="6"/>
  <c r="B183" i="6"/>
  <c r="G55" i="7"/>
  <c r="H72" i="7" s="1"/>
  <c r="G15" i="6"/>
  <c r="N25" i="7"/>
  <c r="F20" i="5"/>
  <c r="F14" i="7"/>
  <c r="L85" i="6"/>
  <c r="B164" i="6"/>
  <c r="B3" i="6" s="1"/>
  <c r="B167" i="6"/>
  <c r="B169" i="6" s="1"/>
  <c r="I213" i="6"/>
  <c r="J213" i="6" s="1"/>
  <c r="K213" i="6" s="1"/>
  <c r="L213" i="6" s="1"/>
  <c r="M213" i="6" s="1"/>
  <c r="N213" i="6" s="1"/>
  <c r="I212" i="6"/>
  <c r="C80" i="6"/>
  <c r="C17" i="6"/>
  <c r="C81" i="6"/>
  <c r="K128" i="5"/>
  <c r="G130" i="6"/>
  <c r="G129" i="6"/>
  <c r="M40" i="7"/>
  <c r="N40" i="7" s="1"/>
  <c r="I187" i="6"/>
  <c r="I197" i="6"/>
  <c r="I165" i="6"/>
  <c r="J157" i="6"/>
  <c r="J160" i="6"/>
  <c r="J150" i="6" s="1"/>
  <c r="K145" i="6"/>
  <c r="I18" i="6"/>
  <c r="B72" i="6"/>
  <c r="B70" i="6"/>
  <c r="C70" i="6"/>
  <c r="B71" i="6"/>
  <c r="B8" i="6"/>
  <c r="E149" i="6"/>
  <c r="E148" i="6"/>
  <c r="E18" i="6"/>
  <c r="B203" i="6"/>
  <c r="C202" i="6"/>
  <c r="B202" i="6"/>
  <c r="J52" i="6"/>
  <c r="K54" i="6"/>
  <c r="H71" i="6"/>
  <c r="H78" i="6"/>
  <c r="H53" i="6"/>
  <c r="F55" i="7"/>
  <c r="F16" i="6"/>
  <c r="F15" i="6"/>
  <c r="F183" i="6"/>
  <c r="F184" i="6"/>
  <c r="K207" i="6"/>
  <c r="C14" i="7"/>
  <c r="C20" i="5"/>
  <c r="G18" i="6"/>
  <c r="N35" i="7"/>
  <c r="B44" i="6"/>
  <c r="L21" i="7"/>
  <c r="K41" i="6"/>
  <c r="E184" i="6"/>
  <c r="E183" i="6"/>
  <c r="E115" i="6"/>
  <c r="E137" i="6"/>
  <c r="E71" i="6"/>
  <c r="K62" i="7"/>
  <c r="M166" i="6"/>
  <c r="D71" i="6"/>
  <c r="D53" i="6"/>
  <c r="D3" i="6"/>
  <c r="D13" i="6" s="1"/>
  <c r="D9" i="7" s="1"/>
  <c r="D81" i="6"/>
  <c r="G75" i="6"/>
  <c r="G68" i="6"/>
  <c r="G53" i="6"/>
  <c r="G71" i="6"/>
  <c r="G3" i="6"/>
  <c r="G19" i="6" s="1"/>
  <c r="B26" i="6"/>
  <c r="B50" i="6"/>
  <c r="K65" i="7"/>
  <c r="I67" i="6"/>
  <c r="I68" i="6"/>
  <c r="I184" i="6"/>
  <c r="I183" i="6"/>
  <c r="H36" i="6"/>
  <c r="H5" i="6"/>
  <c r="H37" i="6"/>
  <c r="H67" i="6"/>
  <c r="H68" i="6"/>
  <c r="M29" i="6"/>
  <c r="L28" i="6"/>
  <c r="L27" i="6" s="1"/>
  <c r="H7" i="7"/>
  <c r="H46" i="7"/>
  <c r="H12" i="6"/>
  <c r="F47" i="6"/>
  <c r="F40" i="6"/>
  <c r="F50" i="6"/>
  <c r="F22" i="6"/>
  <c r="F3" i="6"/>
  <c r="F13" i="6" s="1"/>
  <c r="F9" i="7" s="1"/>
  <c r="B81" i="6"/>
  <c r="B80" i="6"/>
  <c r="B17" i="6"/>
  <c r="D5" i="7"/>
  <c r="F149" i="6"/>
  <c r="F148" i="6"/>
  <c r="C68" i="6"/>
  <c r="C5" i="6"/>
  <c r="D6" i="6" s="1"/>
  <c r="G197" i="6"/>
  <c r="G165" i="6"/>
  <c r="G194" i="6"/>
  <c r="G191" i="6"/>
  <c r="H165" i="6"/>
  <c r="I37" i="6"/>
  <c r="I36" i="6"/>
  <c r="I5" i="6"/>
  <c r="D67" i="6"/>
  <c r="D68" i="6"/>
  <c r="M48" i="7"/>
  <c r="N48" i="7" s="1"/>
  <c r="I143" i="6"/>
  <c r="B130" i="6"/>
  <c r="B129" i="6"/>
  <c r="H14" i="7"/>
  <c r="H64" i="5"/>
  <c r="H76" i="5" s="1"/>
  <c r="H20" i="5"/>
  <c r="K93" i="6"/>
  <c r="K83" i="6" s="1"/>
  <c r="D80" i="6"/>
  <c r="C99" i="6"/>
  <c r="C98" i="6"/>
  <c r="N25" i="6"/>
  <c r="N24" i="6" s="1"/>
  <c r="M24" i="6"/>
  <c r="C72" i="6"/>
  <c r="H112" i="6"/>
  <c r="G7" i="7"/>
  <c r="G46" i="7"/>
  <c r="G12" i="6"/>
  <c r="D140" i="6"/>
  <c r="I6" i="7"/>
  <c r="I47" i="7"/>
  <c r="I9" i="6"/>
  <c r="I112" i="6"/>
  <c r="I109" i="6"/>
  <c r="J109" i="6" s="1"/>
  <c r="K109" i="6" s="1"/>
  <c r="L109" i="6" s="1"/>
  <c r="M109" i="6" s="1"/>
  <c r="N109" i="6" s="1"/>
  <c r="I102" i="6"/>
  <c r="I84" i="6"/>
  <c r="D84" i="6"/>
  <c r="D112" i="6"/>
  <c r="D109" i="6"/>
  <c r="D102" i="6"/>
  <c r="C78" i="6"/>
  <c r="N90" i="6"/>
  <c r="M89" i="6" l="1"/>
  <c r="N89" i="6" s="1"/>
  <c r="C58" i="7"/>
  <c r="F58" i="7"/>
  <c r="F72" i="7"/>
  <c r="D58" i="7"/>
  <c r="D72" i="7"/>
  <c r="E58" i="7"/>
  <c r="E72" i="7"/>
  <c r="I58" i="7"/>
  <c r="I72" i="7"/>
  <c r="M32" i="6"/>
  <c r="M31" i="6" s="1"/>
  <c r="N31" i="6" s="1"/>
  <c r="G58" i="7"/>
  <c r="G72" i="7"/>
  <c r="E6" i="6"/>
  <c r="F7" i="6"/>
  <c r="F6" i="6"/>
  <c r="I10" i="6"/>
  <c r="D8" i="7"/>
  <c r="I13" i="6"/>
  <c r="I9" i="7" s="1"/>
  <c r="L62" i="6"/>
  <c r="J211" i="6"/>
  <c r="G10" i="6"/>
  <c r="G16" i="6"/>
  <c r="J183" i="6"/>
  <c r="J3" i="6"/>
  <c r="J4" i="6" s="1"/>
  <c r="G13" i="6"/>
  <c r="G9" i="7" s="1"/>
  <c r="J107" i="6"/>
  <c r="B184" i="6"/>
  <c r="M120" i="6"/>
  <c r="N120" i="6" s="1"/>
  <c r="D7" i="6"/>
  <c r="E19" i="6"/>
  <c r="J201" i="6"/>
  <c r="J202" i="6" s="1"/>
  <c r="C16" i="6"/>
  <c r="H10" i="6"/>
  <c r="M28" i="7"/>
  <c r="L65" i="7"/>
  <c r="M65" i="7" s="1"/>
  <c r="N65" i="7" s="1"/>
  <c r="L22" i="7"/>
  <c r="M22" i="7"/>
  <c r="H98" i="5"/>
  <c r="H100" i="5" s="1"/>
  <c r="H8" i="7"/>
  <c r="K45" i="6"/>
  <c r="K35" i="6"/>
  <c r="K22" i="6"/>
  <c r="K48" i="6"/>
  <c r="J101" i="6"/>
  <c r="J102" i="6"/>
  <c r="F8" i="7"/>
  <c r="G49" i="7"/>
  <c r="G52" i="7" s="1"/>
  <c r="L164" i="6"/>
  <c r="K60" i="7"/>
  <c r="G8" i="7"/>
  <c r="H5" i="7"/>
  <c r="H7" i="6"/>
  <c r="H6" i="6"/>
  <c r="N166" i="6"/>
  <c r="E53" i="7"/>
  <c r="L59" i="7"/>
  <c r="M59" i="7" s="1"/>
  <c r="N59" i="7" s="1"/>
  <c r="L21" i="6"/>
  <c r="M23" i="6"/>
  <c r="F49" i="7"/>
  <c r="F52" i="7" s="1"/>
  <c r="B67" i="6"/>
  <c r="B68" i="6"/>
  <c r="B5" i="6"/>
  <c r="I8" i="7"/>
  <c r="L116" i="6"/>
  <c r="K114" i="6"/>
  <c r="E3" i="7"/>
  <c r="F4" i="6"/>
  <c r="E13" i="6"/>
  <c r="E9" i="7" s="1"/>
  <c r="B18" i="6"/>
  <c r="B19" i="6"/>
  <c r="D4" i="6"/>
  <c r="D3" i="7"/>
  <c r="E4" i="6"/>
  <c r="D10" i="6"/>
  <c r="D19" i="6"/>
  <c r="J7" i="7"/>
  <c r="J11" i="7" s="1"/>
  <c r="L216" i="6"/>
  <c r="K215" i="6"/>
  <c r="K147" i="6"/>
  <c r="L145" i="6"/>
  <c r="K157" i="6"/>
  <c r="K158" i="6" s="1"/>
  <c r="K160" i="6"/>
  <c r="K150" i="6" s="1"/>
  <c r="J6" i="7"/>
  <c r="J152" i="6"/>
  <c r="J151" i="6"/>
  <c r="D16" i="6"/>
  <c r="L72" i="6"/>
  <c r="J147" i="6"/>
  <c r="J154" i="6" s="1"/>
  <c r="M85" i="6"/>
  <c r="E10" i="6"/>
  <c r="I3" i="7"/>
  <c r="I19" i="6"/>
  <c r="J36" i="6"/>
  <c r="J42" i="6"/>
  <c r="N29" i="6"/>
  <c r="N28" i="6" s="1"/>
  <c r="M28" i="6"/>
  <c r="M27" i="6" s="1"/>
  <c r="N27" i="6" s="1"/>
  <c r="J46" i="6"/>
  <c r="L162" i="6"/>
  <c r="K161" i="6"/>
  <c r="B46" i="7"/>
  <c r="B49" i="7" s="1"/>
  <c r="B7" i="7"/>
  <c r="C8" i="7" s="1"/>
  <c r="B13" i="6"/>
  <c r="B9" i="7" s="1"/>
  <c r="B12" i="6"/>
  <c r="B8" i="7" s="1"/>
  <c r="B9" i="6"/>
  <c r="B10" i="6"/>
  <c r="B47" i="7"/>
  <c r="B6" i="7"/>
  <c r="C9" i="6"/>
  <c r="C18" i="6"/>
  <c r="C19" i="6"/>
  <c r="D18" i="6"/>
  <c r="M62" i="7"/>
  <c r="N62" i="7" s="1"/>
  <c r="F3" i="7"/>
  <c r="G4" i="6"/>
  <c r="B187" i="6"/>
  <c r="B197" i="6"/>
  <c r="B191" i="6"/>
  <c r="B194" i="6"/>
  <c r="K52" i="6"/>
  <c r="L54" i="6"/>
  <c r="L27" i="7"/>
  <c r="M27" i="7" s="1"/>
  <c r="N27" i="7" s="1"/>
  <c r="C165" i="6"/>
  <c r="B168" i="5"/>
  <c r="B169" i="5" s="1"/>
  <c r="N28" i="7"/>
  <c r="I49" i="7"/>
  <c r="I52" i="7" s="1"/>
  <c r="J98" i="6"/>
  <c r="J104" i="6"/>
  <c r="M188" i="6"/>
  <c r="E8" i="7"/>
  <c r="L207" i="6"/>
  <c r="J138" i="6"/>
  <c r="J128" i="6"/>
  <c r="J141" i="6"/>
  <c r="J131" i="6" s="1"/>
  <c r="J115" i="6"/>
  <c r="J206" i="6"/>
  <c r="J205" i="6"/>
  <c r="J191" i="6"/>
  <c r="J190" i="6"/>
  <c r="I5" i="7"/>
  <c r="I6" i="6"/>
  <c r="I7" i="6"/>
  <c r="J46" i="7"/>
  <c r="J49" i="7" s="1"/>
  <c r="L153" i="6"/>
  <c r="K110" i="6"/>
  <c r="K100" i="6" s="1"/>
  <c r="K84" i="6"/>
  <c r="K107" i="6"/>
  <c r="K108" i="6" s="1"/>
  <c r="K97" i="6"/>
  <c r="M94" i="6"/>
  <c r="N95" i="6"/>
  <c r="N94" i="6" s="1"/>
  <c r="C67" i="6"/>
  <c r="L41" i="6"/>
  <c r="F10" i="6"/>
  <c r="M49" i="6"/>
  <c r="N50" i="6"/>
  <c r="N49" i="6" s="1"/>
  <c r="L93" i="6"/>
  <c r="L83" i="6" s="1"/>
  <c r="M21" i="7"/>
  <c r="N21" i="7" s="1"/>
  <c r="N29" i="7"/>
  <c r="I14" i="7"/>
  <c r="I64" i="5"/>
  <c r="I76" i="5" s="1"/>
  <c r="I20" i="5"/>
  <c r="M175" i="6"/>
  <c r="M174" i="6" s="1"/>
  <c r="N174" i="6" s="1"/>
  <c r="N176" i="6"/>
  <c r="N175" i="6" s="1"/>
  <c r="N64" i="6"/>
  <c r="N63" i="6" s="1"/>
  <c r="M63" i="6"/>
  <c r="G7" i="6"/>
  <c r="G6" i="6"/>
  <c r="B3" i="7"/>
  <c r="B24" i="7" s="1"/>
  <c r="B22" i="6"/>
  <c r="B4" i="6"/>
  <c r="B4" i="7" s="1"/>
  <c r="D53" i="7"/>
  <c r="D54" i="7" s="1"/>
  <c r="D52" i="7"/>
  <c r="K182" i="6"/>
  <c r="K165" i="6"/>
  <c r="K192" i="6"/>
  <c r="K193" i="6" s="1"/>
  <c r="K195" i="6"/>
  <c r="K185" i="6" s="1"/>
  <c r="C3" i="7"/>
  <c r="C4" i="6"/>
  <c r="C10" i="6"/>
  <c r="E7" i="6"/>
  <c r="K214" i="6"/>
  <c r="K204" i="6" s="1"/>
  <c r="K211" i="6"/>
  <c r="K200" i="6"/>
  <c r="L199" i="6"/>
  <c r="K201" i="6"/>
  <c r="E52" i="7"/>
  <c r="C53" i="7"/>
  <c r="C54" i="7" s="1"/>
  <c r="C52" i="7"/>
  <c r="N180" i="6"/>
  <c r="N179" i="6" s="1"/>
  <c r="M179" i="6"/>
  <c r="M178" i="6" s="1"/>
  <c r="L37" i="7"/>
  <c r="M37" i="7"/>
  <c r="H3" i="7"/>
  <c r="I4" i="6"/>
  <c r="H16" i="6"/>
  <c r="C5" i="7"/>
  <c r="C7" i="6"/>
  <c r="J40" i="6"/>
  <c r="J39" i="6"/>
  <c r="H13" i="6"/>
  <c r="H9" i="7" s="1"/>
  <c r="J66" i="6"/>
  <c r="J76" i="6"/>
  <c r="J53" i="6"/>
  <c r="J79" i="6"/>
  <c r="J69" i="6" s="1"/>
  <c r="N197" i="6"/>
  <c r="N196" i="6" s="1"/>
  <c r="M196" i="6"/>
  <c r="H49" i="7"/>
  <c r="H52" i="7" s="1"/>
  <c r="G3" i="7"/>
  <c r="H4" i="6"/>
  <c r="F19" i="6"/>
  <c r="D66" i="7" l="1"/>
  <c r="N178" i="6"/>
  <c r="C66" i="7"/>
  <c r="J72" i="7"/>
  <c r="J5" i="7"/>
  <c r="K5" i="7" s="1"/>
  <c r="M62" i="6"/>
  <c r="N62" i="6" s="1"/>
  <c r="K3" i="6"/>
  <c r="K4" i="6" s="1"/>
  <c r="J5" i="6"/>
  <c r="J7" i="6" s="1"/>
  <c r="J14" i="6"/>
  <c r="K212" i="6"/>
  <c r="J208" i="6"/>
  <c r="K7" i="7"/>
  <c r="L7" i="7" s="1"/>
  <c r="M7" i="7" s="1"/>
  <c r="J12" i="7"/>
  <c r="J14" i="7" s="1"/>
  <c r="N22" i="7"/>
  <c r="K6" i="7"/>
  <c r="L6" i="7" s="1"/>
  <c r="L107" i="6"/>
  <c r="L108" i="6" s="1"/>
  <c r="L84" i="6"/>
  <c r="L110" i="6"/>
  <c r="L100" i="6" s="1"/>
  <c r="L97" i="6"/>
  <c r="K152" i="6"/>
  <c r="K151" i="6"/>
  <c r="M164" i="6"/>
  <c r="N37" i="7"/>
  <c r="J3" i="7"/>
  <c r="K3" i="7" s="1"/>
  <c r="E4" i="7"/>
  <c r="E24" i="7"/>
  <c r="K138" i="6"/>
  <c r="K139" i="6" s="1"/>
  <c r="K128" i="6"/>
  <c r="K141" i="6"/>
  <c r="K131" i="6" s="1"/>
  <c r="K115" i="6"/>
  <c r="K36" i="6"/>
  <c r="J71" i="6"/>
  <c r="J70" i="6"/>
  <c r="M72" i="6"/>
  <c r="H4" i="7"/>
  <c r="H24" i="7"/>
  <c r="K104" i="6"/>
  <c r="K98" i="6"/>
  <c r="N188" i="6"/>
  <c r="J105" i="6"/>
  <c r="J106" i="6"/>
  <c r="I4" i="7"/>
  <c r="I24" i="7"/>
  <c r="H68" i="7"/>
  <c r="I99" i="5"/>
  <c r="I67" i="7" s="1"/>
  <c r="H101" i="5"/>
  <c r="J132" i="6"/>
  <c r="J133" i="6"/>
  <c r="K187" i="6"/>
  <c r="K186" i="6"/>
  <c r="J44" i="6"/>
  <c r="J43" i="6"/>
  <c r="N60" i="7"/>
  <c r="M116" i="6"/>
  <c r="L114" i="6"/>
  <c r="K154" i="6"/>
  <c r="J209" i="6"/>
  <c r="J210" i="6"/>
  <c r="H53" i="7"/>
  <c r="H54" i="7" s="1"/>
  <c r="H66" i="7" s="1"/>
  <c r="L161" i="6"/>
  <c r="M162" i="6"/>
  <c r="D4" i="7"/>
  <c r="D24" i="7"/>
  <c r="N164" i="6"/>
  <c r="K46" i="6"/>
  <c r="L5" i="7"/>
  <c r="M5" i="7" s="1"/>
  <c r="N5" i="7" s="1"/>
  <c r="L182" i="6"/>
  <c r="L192" i="6"/>
  <c r="L193" i="6" s="1"/>
  <c r="L165" i="6"/>
  <c r="L195" i="6"/>
  <c r="L185" i="6" s="1"/>
  <c r="L215" i="6"/>
  <c r="M216" i="6"/>
  <c r="K46" i="7"/>
  <c r="L46" i="7" s="1"/>
  <c r="L49" i="7" s="1"/>
  <c r="M60" i="7"/>
  <c r="M21" i="6"/>
  <c r="N23" i="6"/>
  <c r="N21" i="6" s="1"/>
  <c r="G53" i="7"/>
  <c r="I53" i="7"/>
  <c r="I98" i="5"/>
  <c r="M207" i="6"/>
  <c r="K206" i="6"/>
  <c r="K205" i="6"/>
  <c r="G4" i="7"/>
  <c r="G24" i="7"/>
  <c r="K101" i="6"/>
  <c r="K102" i="6"/>
  <c r="L160" i="6"/>
  <c r="L150" i="6" s="1"/>
  <c r="M145" i="6"/>
  <c r="L157" i="6"/>
  <c r="L158" i="6" s="1"/>
  <c r="L147" i="6"/>
  <c r="B7" i="6"/>
  <c r="B6" i="6"/>
  <c r="B5" i="7"/>
  <c r="L200" i="6"/>
  <c r="L214" i="6"/>
  <c r="L204" i="6" s="1"/>
  <c r="L211" i="6"/>
  <c r="L212" i="6" s="1"/>
  <c r="L201" i="6"/>
  <c r="M199" i="6"/>
  <c r="J8" i="6"/>
  <c r="J155" i="6"/>
  <c r="J156" i="6"/>
  <c r="F53" i="7"/>
  <c r="F54" i="7" s="1"/>
  <c r="F66" i="7" s="1"/>
  <c r="K38" i="6"/>
  <c r="L52" i="6"/>
  <c r="M54" i="6"/>
  <c r="L45" i="6"/>
  <c r="L35" i="6"/>
  <c r="L48" i="6"/>
  <c r="L22" i="6"/>
  <c r="J17" i="6"/>
  <c r="C4" i="7"/>
  <c r="C24" i="7"/>
  <c r="E54" i="7"/>
  <c r="E66" i="7" s="1"/>
  <c r="J135" i="6"/>
  <c r="J129" i="6"/>
  <c r="F4" i="7"/>
  <c r="F24" i="7"/>
  <c r="K189" i="6"/>
  <c r="K183" i="6"/>
  <c r="M153" i="6"/>
  <c r="K202" i="6"/>
  <c r="K208" i="6"/>
  <c r="J73" i="6"/>
  <c r="J67" i="6"/>
  <c r="M93" i="6"/>
  <c r="N93" i="6" s="1"/>
  <c r="N85" i="6"/>
  <c r="N83" i="6" s="1"/>
  <c r="C6" i="6"/>
  <c r="M41" i="6"/>
  <c r="L38" i="6"/>
  <c r="K66" i="6"/>
  <c r="K76" i="6"/>
  <c r="K77" i="6" s="1"/>
  <c r="K79" i="6"/>
  <c r="K69" i="6" s="1"/>
  <c r="K53" i="6"/>
  <c r="B53" i="7"/>
  <c r="B54" i="7" s="1"/>
  <c r="L60" i="7"/>
  <c r="L3" i="6" l="1"/>
  <c r="L4" i="6" s="1"/>
  <c r="J6" i="6"/>
  <c r="J16" i="6"/>
  <c r="J15" i="6"/>
  <c r="M83" i="6"/>
  <c r="M84" i="6" s="1"/>
  <c r="K5" i="6"/>
  <c r="K7" i="6" s="1"/>
  <c r="J16" i="7"/>
  <c r="J17" i="7" s="1"/>
  <c r="M6" i="7"/>
  <c r="N6" i="7"/>
  <c r="N7" i="7"/>
  <c r="L152" i="6"/>
  <c r="L151" i="6"/>
  <c r="K4" i="7"/>
  <c r="N116" i="6"/>
  <c r="N114" i="6" s="1"/>
  <c r="M114" i="6"/>
  <c r="K209" i="6"/>
  <c r="K210" i="6"/>
  <c r="N72" i="6"/>
  <c r="N48" i="6"/>
  <c r="N35" i="6"/>
  <c r="N22" i="6"/>
  <c r="N45" i="6"/>
  <c r="M35" i="6"/>
  <c r="M48" i="6"/>
  <c r="M38" i="6" s="1"/>
  <c r="M22" i="6"/>
  <c r="M45" i="6"/>
  <c r="K40" i="6"/>
  <c r="K39" i="6"/>
  <c r="K8" i="6"/>
  <c r="N41" i="6"/>
  <c r="J137" i="6"/>
  <c r="J136" i="6"/>
  <c r="M161" i="6"/>
  <c r="N162" i="6"/>
  <c r="N161" i="6" s="1"/>
  <c r="L3" i="7"/>
  <c r="M3" i="7" s="1"/>
  <c r="L39" i="6"/>
  <c r="L40" i="6"/>
  <c r="J47" i="7"/>
  <c r="J9" i="6"/>
  <c r="J10" i="6"/>
  <c r="M214" i="6"/>
  <c r="M204" i="6" s="1"/>
  <c r="M200" i="6"/>
  <c r="M211" i="6"/>
  <c r="M212" i="6" s="1"/>
  <c r="N199" i="6"/>
  <c r="M201" i="6"/>
  <c r="N207" i="6"/>
  <c r="L154" i="6"/>
  <c r="N165" i="6"/>
  <c r="N195" i="6"/>
  <c r="N185" i="6" s="1"/>
  <c r="N192" i="6"/>
  <c r="N182" i="6"/>
  <c r="K106" i="6"/>
  <c r="K105" i="6"/>
  <c r="N153" i="6"/>
  <c r="K49" i="7"/>
  <c r="M46" i="7"/>
  <c r="M49" i="7" s="1"/>
  <c r="M215" i="6"/>
  <c r="N216" i="6"/>
  <c r="N215" i="6" s="1"/>
  <c r="L187" i="6"/>
  <c r="L186" i="6"/>
  <c r="I100" i="5"/>
  <c r="K14" i="6"/>
  <c r="N107" i="6"/>
  <c r="N110" i="6"/>
  <c r="N100" i="6" s="1"/>
  <c r="N97" i="6"/>
  <c r="N84" i="6"/>
  <c r="J53" i="7"/>
  <c r="K155" i="6"/>
  <c r="K156" i="6"/>
  <c r="K129" i="6"/>
  <c r="K135" i="6"/>
  <c r="J11" i="6"/>
  <c r="L36" i="6"/>
  <c r="L42" i="6"/>
  <c r="J4" i="7"/>
  <c r="M157" i="6"/>
  <c r="M158" i="6" s="1"/>
  <c r="M160" i="6"/>
  <c r="M150" i="6" s="1"/>
  <c r="N145" i="6"/>
  <c r="M147" i="6"/>
  <c r="L76" i="6"/>
  <c r="L77" i="6" s="1"/>
  <c r="L66" i="6"/>
  <c r="L53" i="6"/>
  <c r="L79" i="6"/>
  <c r="L69" i="6" s="1"/>
  <c r="L202" i="6"/>
  <c r="L208" i="6"/>
  <c r="L101" i="6"/>
  <c r="L102" i="6"/>
  <c r="N8" i="7"/>
  <c r="M8" i="7"/>
  <c r="L8" i="7"/>
  <c r="K8" i="7"/>
  <c r="J8" i="7"/>
  <c r="I54" i="7"/>
  <c r="I66" i="7" s="1"/>
  <c r="J75" i="6"/>
  <c r="J74" i="6"/>
  <c r="L46" i="6"/>
  <c r="M52" i="6"/>
  <c r="N54" i="6"/>
  <c r="N52" i="6" s="1"/>
  <c r="M182" i="6"/>
  <c r="M195" i="6"/>
  <c r="M185" i="6" s="1"/>
  <c r="M192" i="6"/>
  <c r="M193" i="6" s="1"/>
  <c r="M165" i="6"/>
  <c r="K70" i="6"/>
  <c r="K71" i="6"/>
  <c r="K191" i="6"/>
  <c r="K190" i="6"/>
  <c r="K73" i="6"/>
  <c r="K67" i="6"/>
  <c r="K42" i="6"/>
  <c r="L205" i="6"/>
  <c r="L206" i="6"/>
  <c r="L189" i="6"/>
  <c r="L183" i="6"/>
  <c r="L98" i="6"/>
  <c r="L104" i="6"/>
  <c r="K17" i="6"/>
  <c r="J18" i="6"/>
  <c r="J19" i="6"/>
  <c r="K132" i="6"/>
  <c r="K133" i="6"/>
  <c r="G54" i="7"/>
  <c r="G66" i="7" s="1"/>
  <c r="L115" i="6"/>
  <c r="L138" i="6"/>
  <c r="L139" i="6" s="1"/>
  <c r="L128" i="6"/>
  <c r="L141" i="6"/>
  <c r="L131" i="6" s="1"/>
  <c r="J24" i="7"/>
  <c r="N3" i="6" l="1"/>
  <c r="M97" i="6"/>
  <c r="M110" i="6"/>
  <c r="M100" i="6" s="1"/>
  <c r="M107" i="6"/>
  <c r="M108" i="6" s="1"/>
  <c r="K6" i="6"/>
  <c r="N193" i="6"/>
  <c r="K11" i="6"/>
  <c r="N108" i="6"/>
  <c r="J61" i="7"/>
  <c r="J18" i="7"/>
  <c r="N187" i="6"/>
  <c r="N186" i="6"/>
  <c r="M151" i="6"/>
  <c r="M152" i="6"/>
  <c r="K13" i="6"/>
  <c r="K9" i="7" s="1"/>
  <c r="K12" i="6"/>
  <c r="L133" i="6"/>
  <c r="L132" i="6"/>
  <c r="N101" i="6"/>
  <c r="N102" i="6"/>
  <c r="K43" i="6"/>
  <c r="K44" i="6"/>
  <c r="M101" i="6"/>
  <c r="M102" i="6"/>
  <c r="L17" i="6"/>
  <c r="K23" i="7"/>
  <c r="L70" i="6"/>
  <c r="L71" i="6"/>
  <c r="N36" i="6"/>
  <c r="L135" i="6"/>
  <c r="L129" i="6"/>
  <c r="N157" i="6"/>
  <c r="N158" i="6" s="1"/>
  <c r="N147" i="6"/>
  <c r="N160" i="6"/>
  <c r="N150" i="6" s="1"/>
  <c r="M40" i="6"/>
  <c r="M39" i="6"/>
  <c r="N204" i="6"/>
  <c r="N98" i="6"/>
  <c r="N104" i="6"/>
  <c r="L4" i="7"/>
  <c r="K15" i="6"/>
  <c r="K16" i="6"/>
  <c r="J23" i="7"/>
  <c r="M205" i="6"/>
  <c r="M206" i="6"/>
  <c r="N211" i="6"/>
  <c r="N212" i="6" s="1"/>
  <c r="N200" i="6"/>
  <c r="N214" i="6"/>
  <c r="N201" i="6"/>
  <c r="M187" i="6"/>
  <c r="M186" i="6"/>
  <c r="L209" i="6"/>
  <c r="L210" i="6"/>
  <c r="M76" i="6"/>
  <c r="M77" i="6" s="1"/>
  <c r="M53" i="6"/>
  <c r="M66" i="6"/>
  <c r="M79" i="6"/>
  <c r="M69" i="6" s="1"/>
  <c r="K53" i="7"/>
  <c r="M42" i="6"/>
  <c r="M36" i="6"/>
  <c r="L8" i="6"/>
  <c r="L190" i="6"/>
  <c r="L191" i="6"/>
  <c r="L67" i="6"/>
  <c r="L73" i="6"/>
  <c r="M98" i="6"/>
  <c r="M104" i="6"/>
  <c r="K74" i="6"/>
  <c r="K75" i="6"/>
  <c r="N38" i="6"/>
  <c r="M138" i="6"/>
  <c r="M139" i="6" s="1"/>
  <c r="M115" i="6"/>
  <c r="M141" i="6"/>
  <c r="M131" i="6" s="1"/>
  <c r="M128" i="6"/>
  <c r="N138" i="6"/>
  <c r="N128" i="6"/>
  <c r="N141" i="6"/>
  <c r="N131" i="6" s="1"/>
  <c r="N115" i="6"/>
  <c r="L43" i="6"/>
  <c r="L44" i="6"/>
  <c r="L5" i="6"/>
  <c r="M189" i="6"/>
  <c r="M183" i="6"/>
  <c r="J13" i="6"/>
  <c r="J9" i="7" s="1"/>
  <c r="J12" i="6"/>
  <c r="N76" i="6"/>
  <c r="N53" i="6"/>
  <c r="N66" i="6"/>
  <c r="N79" i="6"/>
  <c r="N69" i="6" s="1"/>
  <c r="N46" i="7"/>
  <c r="N49" i="7" s="1"/>
  <c r="N3" i="7"/>
  <c r="M3" i="6"/>
  <c r="M4" i="6" s="1"/>
  <c r="N189" i="6"/>
  <c r="N183" i="6"/>
  <c r="M154" i="6"/>
  <c r="L155" i="6"/>
  <c r="L156" i="6"/>
  <c r="I68" i="7"/>
  <c r="J67" i="7" s="1"/>
  <c r="J58" i="7" s="1"/>
  <c r="I101" i="5"/>
  <c r="K47" i="7"/>
  <c r="K10" i="6"/>
  <c r="K9" i="6"/>
  <c r="M208" i="6"/>
  <c r="M202" i="6"/>
  <c r="M46" i="6"/>
  <c r="K19" i="6"/>
  <c r="K18" i="6"/>
  <c r="K137" i="6"/>
  <c r="K136" i="6"/>
  <c r="L105" i="6"/>
  <c r="L106" i="6"/>
  <c r="L14" i="6"/>
  <c r="J26" i="7"/>
  <c r="N46" i="6"/>
  <c r="N14" i="6" l="1"/>
  <c r="M8" i="6"/>
  <c r="N5" i="6"/>
  <c r="J64" i="7"/>
  <c r="J41" i="7"/>
  <c r="J39" i="7" s="1"/>
  <c r="J43" i="7" s="1"/>
  <c r="L53" i="7"/>
  <c r="L23" i="7"/>
  <c r="L51" i="7" s="1"/>
  <c r="L54" i="7" s="1"/>
  <c r="N16" i="6"/>
  <c r="M47" i="7"/>
  <c r="M10" i="6"/>
  <c r="M9" i="6"/>
  <c r="N4" i="7"/>
  <c r="N152" i="6"/>
  <c r="N151" i="6"/>
  <c r="N71" i="6"/>
  <c r="N70" i="6"/>
  <c r="N11" i="6"/>
  <c r="N7" i="6"/>
  <c r="M129" i="6"/>
  <c r="M135" i="6"/>
  <c r="M73" i="6"/>
  <c r="M67" i="6"/>
  <c r="N8" i="6"/>
  <c r="N40" i="6"/>
  <c r="N39" i="6"/>
  <c r="L11" i="6"/>
  <c r="L7" i="6"/>
  <c r="L6" i="6"/>
  <c r="N4" i="6"/>
  <c r="M14" i="6"/>
  <c r="M209" i="6"/>
  <c r="M210" i="6"/>
  <c r="M106" i="6"/>
  <c r="M105" i="6"/>
  <c r="L74" i="6"/>
  <c r="L75" i="6"/>
  <c r="N17" i="6"/>
  <c r="M190" i="6"/>
  <c r="M191" i="6"/>
  <c r="L136" i="6"/>
  <c r="L137" i="6"/>
  <c r="L47" i="7"/>
  <c r="L10" i="6"/>
  <c r="L9" i="6"/>
  <c r="M155" i="6"/>
  <c r="M156" i="6"/>
  <c r="N23" i="7"/>
  <c r="M70" i="6"/>
  <c r="M71" i="6"/>
  <c r="M133" i="6"/>
  <c r="M132" i="6"/>
  <c r="M17" i="6"/>
  <c r="N206" i="6"/>
  <c r="N205" i="6"/>
  <c r="N77" i="6"/>
  <c r="N208" i="6"/>
  <c r="N202" i="6"/>
  <c r="K51" i="7"/>
  <c r="K54" i="7" s="1"/>
  <c r="J51" i="7"/>
  <c r="J31" i="7"/>
  <c r="M43" i="6"/>
  <c r="M44" i="6"/>
  <c r="L19" i="6"/>
  <c r="L18" i="6"/>
  <c r="M4" i="7"/>
  <c r="N106" i="6"/>
  <c r="N105" i="6"/>
  <c r="N73" i="6"/>
  <c r="N67" i="6"/>
  <c r="N154" i="6"/>
  <c r="K26" i="7"/>
  <c r="K31" i="7" s="1"/>
  <c r="N42" i="6"/>
  <c r="L15" i="6"/>
  <c r="L16" i="6"/>
  <c r="N132" i="6"/>
  <c r="N133" i="6"/>
  <c r="M5" i="6"/>
  <c r="N6" i="6" s="1"/>
  <c r="N129" i="6"/>
  <c r="N135" i="6"/>
  <c r="N190" i="6"/>
  <c r="N191" i="6"/>
  <c r="N139" i="6"/>
  <c r="M23" i="7" l="1"/>
  <c r="M53" i="7"/>
  <c r="N53" i="7" s="1"/>
  <c r="N13" i="6"/>
  <c r="N9" i="7" s="1"/>
  <c r="N155" i="6"/>
  <c r="N156" i="6"/>
  <c r="K52" i="7"/>
  <c r="M75" i="6"/>
  <c r="M74" i="6"/>
  <c r="M136" i="6"/>
  <c r="M137" i="6"/>
  <c r="N210" i="6"/>
  <c r="N209" i="6"/>
  <c r="M15" i="6"/>
  <c r="M16" i="6"/>
  <c r="N51" i="7"/>
  <c r="N43" i="6"/>
  <c r="N44" i="6"/>
  <c r="L26" i="7"/>
  <c r="N74" i="6"/>
  <c r="N75" i="6"/>
  <c r="M51" i="7"/>
  <c r="M54" i="7" s="1"/>
  <c r="N18" i="6"/>
  <c r="N19" i="6"/>
  <c r="M19" i="6"/>
  <c r="M18" i="6"/>
  <c r="L12" i="6"/>
  <c r="L13" i="6"/>
  <c r="L9" i="7" s="1"/>
  <c r="N136" i="6"/>
  <c r="N137" i="6"/>
  <c r="L52" i="7"/>
  <c r="M11" i="6"/>
  <c r="M6" i="6"/>
  <c r="M7" i="6"/>
  <c r="N47" i="7"/>
  <c r="N10" i="6"/>
  <c r="N9" i="6"/>
  <c r="J54" i="7"/>
  <c r="J66" i="7" s="1"/>
  <c r="J68" i="7" s="1"/>
  <c r="J52" i="7"/>
  <c r="N15" i="6"/>
  <c r="K67" i="7" l="1"/>
  <c r="J69" i="7"/>
  <c r="K50" i="7" s="1"/>
  <c r="N54" i="7"/>
  <c r="M52" i="7"/>
  <c r="M13" i="6"/>
  <c r="M9" i="7" s="1"/>
  <c r="M12" i="6"/>
  <c r="M26" i="7"/>
  <c r="L31" i="7"/>
  <c r="N12" i="6"/>
  <c r="N52" i="7"/>
  <c r="K58" i="7" l="1"/>
  <c r="K10" i="7"/>
  <c r="K11" i="7" s="1"/>
  <c r="K12" i="7" s="1"/>
  <c r="K14" i="7" s="1"/>
  <c r="N26" i="7"/>
  <c r="N31" i="7" s="1"/>
  <c r="M31" i="7"/>
  <c r="K16" i="7" l="1"/>
  <c r="K17" i="7" s="1"/>
  <c r="J1" i="4"/>
  <c r="K1" i="4" s="1"/>
  <c r="L1" i="4" s="1"/>
  <c r="M1" i="4" s="1"/>
  <c r="N1" i="4" s="1"/>
  <c r="H1" i="4"/>
  <c r="G1" i="4" s="1"/>
  <c r="F1" i="4" s="1"/>
  <c r="E1" i="4" s="1"/>
  <c r="D1" i="4" s="1"/>
  <c r="C1" i="4" s="1"/>
  <c r="B1" i="4" s="1"/>
  <c r="K61" i="7" l="1"/>
  <c r="K18" i="7"/>
  <c r="A51" i="3"/>
  <c r="K64" i="7" l="1"/>
  <c r="K66" i="7" s="1"/>
  <c r="K68" i="7" s="1"/>
  <c r="K41" i="7"/>
  <c r="K39" i="7" s="1"/>
  <c r="K43" i="7" s="1"/>
  <c r="N19" i="3"/>
  <c r="M19" i="3"/>
  <c r="L19" i="3"/>
  <c r="K19" i="3"/>
  <c r="J19" i="3"/>
  <c r="N18" i="3"/>
  <c r="M18" i="3"/>
  <c r="L18" i="3"/>
  <c r="K18" i="3"/>
  <c r="J18" i="3"/>
  <c r="N16" i="3"/>
  <c r="M16" i="3"/>
  <c r="L16" i="3"/>
  <c r="K16" i="3"/>
  <c r="J16" i="3"/>
  <c r="N15" i="3"/>
  <c r="M15" i="3"/>
  <c r="L15" i="3"/>
  <c r="K15" i="3"/>
  <c r="J15" i="3"/>
  <c r="N13" i="3"/>
  <c r="M13" i="3"/>
  <c r="L13" i="3"/>
  <c r="K13" i="3"/>
  <c r="J13" i="3"/>
  <c r="N12" i="3"/>
  <c r="M12" i="3"/>
  <c r="L12" i="3"/>
  <c r="K12" i="3"/>
  <c r="J12" i="3"/>
  <c r="N10" i="3"/>
  <c r="M10" i="3"/>
  <c r="L10" i="3"/>
  <c r="K10" i="3"/>
  <c r="J10" i="3"/>
  <c r="N9" i="3"/>
  <c r="M9" i="3"/>
  <c r="L9" i="3"/>
  <c r="K9" i="3"/>
  <c r="J9" i="3"/>
  <c r="N7" i="3"/>
  <c r="M7" i="3"/>
  <c r="L7" i="3"/>
  <c r="K7" i="3"/>
  <c r="J7" i="3"/>
  <c r="N6" i="3"/>
  <c r="M6" i="3"/>
  <c r="L6" i="3"/>
  <c r="K6" i="3"/>
  <c r="J6" i="3"/>
  <c r="N4" i="3"/>
  <c r="M4" i="3"/>
  <c r="L4" i="3"/>
  <c r="K4" i="3"/>
  <c r="J4" i="3"/>
  <c r="I19" i="3"/>
  <c r="H19" i="3"/>
  <c r="G19" i="3"/>
  <c r="F19" i="3"/>
  <c r="E19" i="3"/>
  <c r="D19" i="3"/>
  <c r="C19" i="3"/>
  <c r="B19" i="3"/>
  <c r="I18" i="3"/>
  <c r="H18" i="3"/>
  <c r="G18" i="3"/>
  <c r="F18" i="3"/>
  <c r="E18" i="3"/>
  <c r="D18" i="3"/>
  <c r="C18" i="3"/>
  <c r="B18" i="3"/>
  <c r="I16" i="3"/>
  <c r="H16" i="3"/>
  <c r="G16" i="3"/>
  <c r="F16" i="3"/>
  <c r="E16" i="3"/>
  <c r="D16" i="3"/>
  <c r="C16" i="3"/>
  <c r="B16" i="3"/>
  <c r="I15" i="3"/>
  <c r="H15" i="3"/>
  <c r="G15" i="3"/>
  <c r="F15" i="3"/>
  <c r="E15" i="3"/>
  <c r="D15" i="3"/>
  <c r="C15" i="3"/>
  <c r="B15" i="3"/>
  <c r="I13" i="3"/>
  <c r="H13" i="3"/>
  <c r="G13" i="3"/>
  <c r="F13" i="3"/>
  <c r="E13" i="3"/>
  <c r="D13" i="3"/>
  <c r="C13" i="3"/>
  <c r="B13" i="3"/>
  <c r="I12" i="3"/>
  <c r="H12" i="3"/>
  <c r="G12" i="3"/>
  <c r="F12" i="3"/>
  <c r="E12" i="3"/>
  <c r="D12" i="3"/>
  <c r="C12" i="3"/>
  <c r="B12" i="3"/>
  <c r="I10" i="3"/>
  <c r="H10" i="3"/>
  <c r="G10" i="3"/>
  <c r="F10" i="3"/>
  <c r="E10" i="3"/>
  <c r="D10" i="3"/>
  <c r="C10" i="3"/>
  <c r="B10" i="3"/>
  <c r="I9" i="3"/>
  <c r="H9" i="3"/>
  <c r="G9" i="3"/>
  <c r="F9" i="3"/>
  <c r="E9" i="3"/>
  <c r="D9" i="3"/>
  <c r="C9" i="3"/>
  <c r="B9" i="3"/>
  <c r="I7" i="3"/>
  <c r="H7" i="3"/>
  <c r="G7" i="3"/>
  <c r="F7" i="3"/>
  <c r="E7" i="3"/>
  <c r="D7" i="3"/>
  <c r="C7" i="3"/>
  <c r="B7" i="3"/>
  <c r="I6" i="3"/>
  <c r="H6" i="3"/>
  <c r="G6" i="3"/>
  <c r="F6" i="3"/>
  <c r="E6" i="3"/>
  <c r="D6" i="3"/>
  <c r="C6" i="3"/>
  <c r="B6" i="3"/>
  <c r="I4" i="3"/>
  <c r="H4" i="3"/>
  <c r="G4" i="3"/>
  <c r="F4" i="3"/>
  <c r="E4" i="3"/>
  <c r="D4" i="3"/>
  <c r="C4" i="3"/>
  <c r="B4" i="3"/>
  <c r="L67" i="7" l="1"/>
  <c r="K69" i="7"/>
  <c r="L50" i="7" s="1"/>
  <c r="I48" i="3"/>
  <c r="H48" i="3"/>
  <c r="G48" i="3"/>
  <c r="F48" i="3"/>
  <c r="E48" i="3"/>
  <c r="D48" i="3"/>
  <c r="C48" i="3"/>
  <c r="B48" i="3"/>
  <c r="B49" i="3" s="1"/>
  <c r="K34" i="3"/>
  <c r="L34" i="3" s="1"/>
  <c r="M34" i="3" s="1"/>
  <c r="N34" i="3" s="1"/>
  <c r="J32" i="3"/>
  <c r="K30" i="3"/>
  <c r="L30" i="3" s="1"/>
  <c r="M30" i="3" s="1"/>
  <c r="N30" i="3" s="1"/>
  <c r="J28" i="3"/>
  <c r="J24" i="3"/>
  <c r="K25" i="3"/>
  <c r="L25" i="3" s="1"/>
  <c r="M25" i="3" s="1"/>
  <c r="N25" i="3" s="1"/>
  <c r="K26" i="3"/>
  <c r="L26" i="3" s="1"/>
  <c r="M26" i="3" s="1"/>
  <c r="N26" i="3" s="1"/>
  <c r="L58" i="7" l="1"/>
  <c r="L10" i="7"/>
  <c r="L11" i="7" s="1"/>
  <c r="L12" i="7" s="1"/>
  <c r="L14" i="7" s="1"/>
  <c r="N24" i="3"/>
  <c r="F49" i="3"/>
  <c r="C49" i="3"/>
  <c r="E49" i="3"/>
  <c r="D49" i="3"/>
  <c r="G49" i="3"/>
  <c r="H49" i="3"/>
  <c r="I49" i="3"/>
  <c r="L24" i="3"/>
  <c r="M24" i="3"/>
  <c r="K24" i="3"/>
  <c r="K33" i="3"/>
  <c r="K29" i="3"/>
  <c r="A20" i="3"/>
  <c r="H45" i="3"/>
  <c r="G45" i="3"/>
  <c r="F45" i="3"/>
  <c r="E45" i="3"/>
  <c r="D45" i="3"/>
  <c r="C45" i="3"/>
  <c r="B45" i="3"/>
  <c r="I45" i="3"/>
  <c r="I38" i="3"/>
  <c r="I41" i="3" s="1"/>
  <c r="J41" i="3" s="1"/>
  <c r="K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L16" i="7" l="1"/>
  <c r="L17" i="7" s="1"/>
  <c r="L41" i="3"/>
  <c r="G32" i="3"/>
  <c r="G34" i="3" s="1"/>
  <c r="H24" i="3"/>
  <c r="H26" i="3" s="1"/>
  <c r="E28" i="3"/>
  <c r="E30" i="3" s="1"/>
  <c r="C24" i="3"/>
  <c r="C26" i="3" s="1"/>
  <c r="C46" i="3"/>
  <c r="D24" i="3"/>
  <c r="D26" i="3" s="1"/>
  <c r="G43" i="3"/>
  <c r="G46" i="3"/>
  <c r="G24" i="3"/>
  <c r="G26" i="3" s="1"/>
  <c r="H35" i="3"/>
  <c r="H46" i="3"/>
  <c r="B34" i="3"/>
  <c r="I35" i="3"/>
  <c r="I36" i="3" s="1"/>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J21"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C175" i="1"/>
  <c r="C176" i="1" s="1"/>
  <c r="I172" i="1"/>
  <c r="I175" i="1" s="1"/>
  <c r="I176" i="1" s="1"/>
  <c r="H172" i="1"/>
  <c r="H175" i="1" s="1"/>
  <c r="H176" i="1" s="1"/>
  <c r="G172" i="1"/>
  <c r="G175" i="1" s="1"/>
  <c r="G176" i="1" s="1"/>
  <c r="F172" i="1"/>
  <c r="F175" i="1" s="1"/>
  <c r="F176" i="1" s="1"/>
  <c r="E172" i="1"/>
  <c r="E175" i="1" s="1"/>
  <c r="E176" i="1" s="1"/>
  <c r="D172" i="1"/>
  <c r="D175" i="1" s="1"/>
  <c r="D176" i="1" s="1"/>
  <c r="C172" i="1"/>
  <c r="B172" i="1"/>
  <c r="B175" i="1" s="1"/>
  <c r="B176" i="1" s="1"/>
  <c r="I161" i="1"/>
  <c r="I163" i="1" s="1"/>
  <c r="H161" i="1"/>
  <c r="H163" i="1" s="1"/>
  <c r="H164" i="1" s="1"/>
  <c r="H165" i="1" s="1"/>
  <c r="G161" i="1"/>
  <c r="G163" i="1" s="1"/>
  <c r="F161" i="1"/>
  <c r="F163" i="1" s="1"/>
  <c r="E161" i="1"/>
  <c r="E163" i="1" s="1"/>
  <c r="D161" i="1"/>
  <c r="D163" i="1" s="1"/>
  <c r="C161" i="1"/>
  <c r="C163" i="1" s="1"/>
  <c r="B161" i="1"/>
  <c r="H125" i="1"/>
  <c r="I125" i="1"/>
  <c r="H154" i="1"/>
  <c r="E154" i="1"/>
  <c r="C154" i="1"/>
  <c r="I150" i="1"/>
  <c r="I153" i="1" s="1"/>
  <c r="I154" i="1" s="1"/>
  <c r="H150" i="1"/>
  <c r="H153" i="1" s="1"/>
  <c r="G150" i="1"/>
  <c r="G153" i="1" s="1"/>
  <c r="G154" i="1" s="1"/>
  <c r="F150" i="1"/>
  <c r="F153" i="1" s="1"/>
  <c r="F154" i="1" s="1"/>
  <c r="E150" i="1"/>
  <c r="E153" i="1" s="1"/>
  <c r="D150" i="1"/>
  <c r="D153" i="1" s="1"/>
  <c r="D154" i="1" s="1"/>
  <c r="C150" i="1"/>
  <c r="C153" i="1" s="1"/>
  <c r="B150" i="1"/>
  <c r="B153" i="1" s="1"/>
  <c r="B154" i="1" s="1"/>
  <c r="L61" i="7" l="1"/>
  <c r="L18" i="7"/>
  <c r="I164" i="1"/>
  <c r="I165" i="1" s="1"/>
  <c r="C37" i="3"/>
  <c r="B163" i="1"/>
  <c r="B164" i="1" s="1"/>
  <c r="B165" i="1" s="1"/>
  <c r="M41" i="3"/>
  <c r="B37" i="3"/>
  <c r="C36" i="3"/>
  <c r="G36" i="3"/>
  <c r="H36" i="3"/>
  <c r="D36" i="3"/>
  <c r="F36" i="3"/>
  <c r="E36" i="3"/>
  <c r="E37" i="3"/>
  <c r="L32" i="3"/>
  <c r="M33" i="3"/>
  <c r="L31" i="3"/>
  <c r="L28" i="3"/>
  <c r="L27" i="3" s="1"/>
  <c r="M29" i="3"/>
  <c r="K21"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21" i="3" s="1"/>
  <c r="G107" i="1"/>
  <c r="G21" i="3" s="1"/>
  <c r="F107" i="1"/>
  <c r="F21" i="3" s="1"/>
  <c r="E107" i="1"/>
  <c r="E21" i="3" s="1"/>
  <c r="D107" i="1"/>
  <c r="D21" i="3" s="1"/>
  <c r="C107" i="1"/>
  <c r="C21" i="3" s="1"/>
  <c r="B107" i="1"/>
  <c r="B21" i="3" s="1"/>
  <c r="I107" i="1"/>
  <c r="I21" i="3" s="1"/>
  <c r="I50" i="3" s="1"/>
  <c r="J50" i="3" s="1"/>
  <c r="J48" i="3" s="1"/>
  <c r="J38" i="3" s="1"/>
  <c r="I139" i="1"/>
  <c r="I142" i="1" s="1"/>
  <c r="H139" i="1"/>
  <c r="H142" i="1" s="1"/>
  <c r="G139" i="1"/>
  <c r="G142" i="1" s="1"/>
  <c r="F139" i="1"/>
  <c r="F142" i="1" s="1"/>
  <c r="E139" i="1"/>
  <c r="E142" i="1" s="1"/>
  <c r="D139" i="1"/>
  <c r="D142" i="1" s="1"/>
  <c r="C139" i="1"/>
  <c r="C142" i="1" s="1"/>
  <c r="B139" i="1"/>
  <c r="B142" i="1" s="1"/>
  <c r="L64" i="7" l="1"/>
  <c r="L66" i="7" s="1"/>
  <c r="L68" i="7" s="1"/>
  <c r="L41" i="7"/>
  <c r="L39" i="7" s="1"/>
  <c r="L43" i="7" s="1"/>
  <c r="D22" i="3"/>
  <c r="D47" i="3"/>
  <c r="D44" i="3"/>
  <c r="D40" i="3"/>
  <c r="D50" i="3"/>
  <c r="D37" i="3"/>
  <c r="G44" i="3"/>
  <c r="G47" i="3"/>
  <c r="G40" i="3"/>
  <c r="G50" i="3"/>
  <c r="G22" i="3"/>
  <c r="E50" i="3"/>
  <c r="E22" i="3"/>
  <c r="E44" i="3"/>
  <c r="E47" i="3"/>
  <c r="E40" i="3"/>
  <c r="F50" i="3"/>
  <c r="F22" i="3"/>
  <c r="F44" i="3"/>
  <c r="F47" i="3"/>
  <c r="F40" i="3"/>
  <c r="F37" i="3"/>
  <c r="H50" i="3"/>
  <c r="H44" i="3"/>
  <c r="H47" i="3"/>
  <c r="H22" i="3"/>
  <c r="H40" i="3"/>
  <c r="N41" i="3"/>
  <c r="G37" i="3"/>
  <c r="J49" i="3"/>
  <c r="K50" i="3"/>
  <c r="H37" i="3"/>
  <c r="B22" i="3"/>
  <c r="B40" i="3"/>
  <c r="B50" i="3"/>
  <c r="B47" i="3"/>
  <c r="B44" i="3"/>
  <c r="C50" i="3"/>
  <c r="C44" i="3"/>
  <c r="C47" i="3"/>
  <c r="C40" i="3"/>
  <c r="C22" i="3"/>
  <c r="I22" i="3"/>
  <c r="I44" i="3"/>
  <c r="J22" i="3"/>
  <c r="I40" i="3"/>
  <c r="I47" i="3"/>
  <c r="J47" i="3" s="1"/>
  <c r="I37" i="3"/>
  <c r="J37" i="3" s="1"/>
  <c r="K22" i="3"/>
  <c r="M32" i="3"/>
  <c r="M31" i="3" s="1"/>
  <c r="N33" i="3"/>
  <c r="N32" i="3" s="1"/>
  <c r="L21" i="3"/>
  <c r="M28" i="3"/>
  <c r="M27" i="3" s="1"/>
  <c r="N29" i="3"/>
  <c r="N28" i="3" s="1"/>
  <c r="H124" i="1"/>
  <c r="H131" i="1" s="1"/>
  <c r="H132" i="1" s="1"/>
  <c r="C124" i="1"/>
  <c r="I124" i="1"/>
  <c r="E124" i="1"/>
  <c r="F124" i="1"/>
  <c r="D124" i="1"/>
  <c r="B124" i="1"/>
  <c r="B131" i="1" s="1"/>
  <c r="G124" i="1"/>
  <c r="M67" i="7" l="1"/>
  <c r="L69" i="7"/>
  <c r="M50" i="7" s="1"/>
  <c r="L50" i="3"/>
  <c r="K49" i="3"/>
  <c r="L48" i="3"/>
  <c r="L38" i="3" s="1"/>
  <c r="N31" i="3"/>
  <c r="K48" i="3"/>
  <c r="K38" i="3" s="1"/>
  <c r="K47" i="3"/>
  <c r="J45" i="3"/>
  <c r="J46" i="3" s="1"/>
  <c r="K37" i="3"/>
  <c r="J35" i="3"/>
  <c r="L22" i="3"/>
  <c r="N27" i="3"/>
  <c r="N21" i="3" s="1"/>
  <c r="M21" i="3"/>
  <c r="E131" i="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D4" i="1"/>
  <c r="C4" i="1"/>
  <c r="B4" i="1"/>
  <c r="I4" i="1"/>
  <c r="I10" i="1" s="1"/>
  <c r="M58" i="7" l="1"/>
  <c r="M10" i="7"/>
  <c r="M11" i="7" s="1"/>
  <c r="M12" i="7" s="1"/>
  <c r="M14" i="7" s="1"/>
  <c r="J36" i="3"/>
  <c r="J42" i="3"/>
  <c r="B10" i="1"/>
  <c r="C10" i="1"/>
  <c r="M48" i="3"/>
  <c r="M38" i="3" s="1"/>
  <c r="D10" i="1"/>
  <c r="K42" i="3"/>
  <c r="B59" i="1"/>
  <c r="B60" i="1" s="1"/>
  <c r="C59" i="1"/>
  <c r="L47" i="3"/>
  <c r="K45" i="3"/>
  <c r="K46" i="3" s="1"/>
  <c r="E10" i="1"/>
  <c r="E12" i="1" s="1"/>
  <c r="E20" i="1" s="1"/>
  <c r="F10" i="1"/>
  <c r="F12" i="1" s="1"/>
  <c r="F20" i="1" s="1"/>
  <c r="H10" i="1"/>
  <c r="H143" i="1" s="1"/>
  <c r="D59" i="1"/>
  <c r="D60" i="1" s="1"/>
  <c r="E59" i="1"/>
  <c r="E60" i="1" s="1"/>
  <c r="L49" i="3"/>
  <c r="M50" i="3"/>
  <c r="L37" i="3"/>
  <c r="K35" i="3"/>
  <c r="K36" i="3" s="1"/>
  <c r="M22" i="3"/>
  <c r="N22" i="3"/>
  <c r="I12" i="1"/>
  <c r="I20" i="1" s="1"/>
  <c r="I143" i="1"/>
  <c r="B12" i="1"/>
  <c r="B20" i="1" s="1"/>
  <c r="B143" i="1"/>
  <c r="C12" i="1"/>
  <c r="C20" i="1" s="1"/>
  <c r="C143" i="1"/>
  <c r="D12" i="1"/>
  <c r="D20" i="1" s="1"/>
  <c r="D143" i="1"/>
  <c r="E94" i="1"/>
  <c r="D94" i="1"/>
  <c r="C94" i="1"/>
  <c r="B94" i="1"/>
  <c r="F94" i="1"/>
  <c r="G94" i="1"/>
  <c r="F60" i="1"/>
  <c r="G10" i="1"/>
  <c r="I59" i="1"/>
  <c r="I60" i="1" s="1"/>
  <c r="G60" i="1"/>
  <c r="H60" i="1"/>
  <c r="C60" i="1"/>
  <c r="M16" i="7" l="1"/>
  <c r="M17" i="7" s="1"/>
  <c r="H12" i="1"/>
  <c r="F143" i="1"/>
  <c r="E143" i="1"/>
  <c r="M49" i="3"/>
  <c r="N50" i="3"/>
  <c r="M47" i="3"/>
  <c r="L45" i="3"/>
  <c r="L46" i="3" s="1"/>
  <c r="K43" i="3"/>
  <c r="K44" i="3"/>
  <c r="J43" i="3"/>
  <c r="J44" i="3"/>
  <c r="M37" i="3"/>
  <c r="L35" i="3"/>
  <c r="I64" i="1"/>
  <c r="I76" i="1" s="1"/>
  <c r="I94" i="1" s="1"/>
  <c r="G12" i="1"/>
  <c r="G20" i="1" s="1"/>
  <c r="G143" i="1"/>
  <c r="M18" i="7" l="1"/>
  <c r="M61" i="7"/>
  <c r="L36" i="3"/>
  <c r="L42" i="3"/>
  <c r="N47" i="3"/>
  <c r="M45" i="3"/>
  <c r="M46" i="3" s="1"/>
  <c r="N49" i="3"/>
  <c r="N48" i="3"/>
  <c r="N38" i="3" s="1"/>
  <c r="H20" i="1"/>
  <c r="H64" i="1"/>
  <c r="H76" i="1" s="1"/>
  <c r="H94" i="1" s="1"/>
  <c r="H96" i="1" s="1"/>
  <c r="N37" i="3"/>
  <c r="N35" i="3" s="1"/>
  <c r="M35" i="3"/>
  <c r="H1" i="1"/>
  <c r="G1" i="1" s="1"/>
  <c r="F1" i="1" s="1"/>
  <c r="E1" i="1" s="1"/>
  <c r="D1" i="1" s="1"/>
  <c r="C1" i="1" s="1"/>
  <c r="B1" i="1" s="1"/>
  <c r="M64" i="7" l="1"/>
  <c r="M66" i="7" s="1"/>
  <c r="M68" i="7" s="1"/>
  <c r="M41" i="7"/>
  <c r="M39" i="7" s="1"/>
  <c r="M43" i="7" s="1"/>
  <c r="M36" i="3"/>
  <c r="M42" i="3"/>
  <c r="I95" i="1"/>
  <c r="I96" i="1" s="1"/>
  <c r="I97" i="1" s="1"/>
  <c r="H97" i="1"/>
  <c r="N42" i="3"/>
  <c r="N45" i="3"/>
  <c r="N46" i="3" s="1"/>
  <c r="L44" i="3"/>
  <c r="L43" i="3"/>
  <c r="N36" i="3"/>
  <c r="N67" i="7" l="1"/>
  <c r="M69" i="7"/>
  <c r="N50" i="7" s="1"/>
  <c r="N44" i="3"/>
  <c r="N43" i="3"/>
  <c r="M44" i="3"/>
  <c r="M43" i="3"/>
  <c r="K39" i="3"/>
  <c r="M39" i="3"/>
  <c r="N39" i="3"/>
  <c r="M40" i="3"/>
  <c r="N40" i="3"/>
  <c r="K40" i="3"/>
  <c r="J39" i="3"/>
  <c r="L39" i="3"/>
  <c r="J40" i="3"/>
  <c r="L40" i="3"/>
  <c r="N58" i="7" l="1"/>
  <c r="N10" i="7"/>
  <c r="N11" i="7" s="1"/>
  <c r="N12" i="7" s="1"/>
  <c r="N14" i="7" s="1"/>
  <c r="N16" i="7" l="1"/>
  <c r="N17" i="7" s="1"/>
  <c r="N61" i="7" l="1"/>
  <c r="N18" i="7"/>
  <c r="N64" i="7" l="1"/>
  <c r="N66" i="7" s="1"/>
  <c r="N68" i="7" s="1"/>
  <c r="N69" i="7" s="1"/>
  <c r="N41" i="7"/>
  <c r="N39" i="7" s="1"/>
  <c r="N43" i="7" s="1"/>
  <c r="B213" i="6"/>
  <c r="B212" i="6"/>
  <c r="C212" i="6"/>
  <c r="B15" i="6"/>
  <c r="B16" i="6"/>
  <c r="B55" i="7" l="1"/>
  <c r="C72" i="7" s="1"/>
  <c r="C15" i="6"/>
  <c r="B52" i="7" l="1"/>
  <c r="B58" i="7"/>
  <c r="B6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EA545860-BB95-4950-86C2-A5EA5D7B6D92}">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<sst xmlns="http://schemas.openxmlformats.org/spreadsheetml/2006/main" count="855" uniqueCount="252">
  <si>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</si>
  <si>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</si>
  <si>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</si>
  <si>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</si>
  <si>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</si>
  <si>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</si>
  <si>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</si>
  <si>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</si>
  <si>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</si>
  <si>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</si>
  <si>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</si>
  <si>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</si>
  <si>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</si>
  <si>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</si>
  <si>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</si>
  <si>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</si>
  <si>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</si>
  <si>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</si>
  <si>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</si>
  <si>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</si>
  <si>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</si>
  <si>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</si>
  <si>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</si>
  <si>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</si>
  <si>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</si>
  <si>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</si>
  <si>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</si>
  <si>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</si>
  <si>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</si>
  <si>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</si>
  <si>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</si>
  <si>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</si>
  <si>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</si>
  <si>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</si>
  <si>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</si>
  <si>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</si>
  <si>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</si>
  <si>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</si>
  <si>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</si>
  <si>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</si>
  <si>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</si>
  <si>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</si>
  <si>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</si>
  <si>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</si>
  <si>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</si>
  <si>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</si>
  <si>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</si>
  <si>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</si>
  <si>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</si>
  <si>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</si>
  <si>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</si>
  <si>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</si>
  <si>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</si>
  <si>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</si>
  <si>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</si>
  <si>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</si>
  <si>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</si>
  <si>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</si>
  <si>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</si>
  <si>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</si>
  <si>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</si>
  <si>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</si>
  <si>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</si>
  <si>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</si>
  <si>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</si>
  <si>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</si>
  <si>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</si>
  <si>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</si>
  <si>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</si>
  <si>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</si>
  <si>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</si>
  <si>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</si>
  <si>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</si>
  <si>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</si>
  <si>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</si>
  <si>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</si>
  <si>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</si>
  <si>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</si>
  <si>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</si>
  <si>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</si>
  <si>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</si>
  <si>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</si>
  <si>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</si>
  <si>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</si>
  <si>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</si>
  <si>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</si>
  <si>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</si>
  <si>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</si>
  <si>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</si>
  <si>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</si>
  <si>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</si>
  <si>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</si>
  <si>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</si>
  <si>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</si>
  <si>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</si>
  <si>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</si>
  <si>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</si>
  <si>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</si>
  <si>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</si>
  <si>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</si>
  <si>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</si>
  <si>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</si>
  <si>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</si>
  <si>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</si>
  <si>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</si>
  <si>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</si>
  <si>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</si>
  <si>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</si>
  <si>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</si>
  <si>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</si>
  <si>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</si>
  <si>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</si>
  <si>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</si>
  <si>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</si>
  <si>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</si>
  <si>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</si>
  <si>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</si>
  <si>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</si>
  <si>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</si>
  <si>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</si>
  <si>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</si>
  <si>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</si>
  <si>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</si>
  <si>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</si>
  <si>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</si>
  <si>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</si>
  <si>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</si>
  <si>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</si>
  <si>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</si>
  <si>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</si>
  <si>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</si>
  <si>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</si>
  <si>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</si>
  <si>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</si>
  <si>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</si>
  <si>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</si>
  <si>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</si>
  <si>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</si>
  <si>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</si>
  <si>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</si>
  <si>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</si>
  <si>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</si>
  <si>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</si>
  <si>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</si>
  <si>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</si>
  <si>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</si>
  <si>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</si>
  <si>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</si>
  <si>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</si>
  <si>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</si>
  <si>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</si>
  <si>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</si>
  <si>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</si>
  <si>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</si>
  <si>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</si>
  <si>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</si>
  <si>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</si>
  <si>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</si>
  <si>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</si>
  <si>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</si>
  <si>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</si>
  <si>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</si>
  <si>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</si>
  <si>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</si>
  <si>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</si>
  <si>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</si>
  <si>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</si>
  <si>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</si>
  <si>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</si>
  <si>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</si>
  <si>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</si>
  <si>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</si>
  <si>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</si>
  <si>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</si>
  <si>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</si>
  <si>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</si>
  <si>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</si>
  <si>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</si>
  <si>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</si>
  <si>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</si>
  <si>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</si>
  <si>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</si>
  <si>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</si>
  <si>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</si>
  <si>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</si>
  <si>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</si>
  <si>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</si>
  <si>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</si>
  <si>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</si>
  <si>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</si>
  <si>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</si>
  <si>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</si>
  <si>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</si>
  <si>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</si>
  <si>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</si>
  <si>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</si>
  <si>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</si>
  <si>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</si>
  <si>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</si>
  <si>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</si>
  <si>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</si>
  <si>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</si>
  <si>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</si>
  <si>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</si>
  <si>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</si>
  <si>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</si>
  <si>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</si>
  <si>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</si>
  <si>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</si>
  <si>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</si>
  <si>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</si>
  <si>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</si>
  <si>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</si>
  <si>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</si>
  <si>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</si>
  <si>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</si>
  <si>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</si>
  <si>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</si>
  <si>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</si>
  <si>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</si>
  <si>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Investments in reverse repurchase agreements</t>
  </si>
  <si>
    <t>Disposal of property, plant and equipment</t>
  </si>
  <si>
    <t>Long-term debt payments, including current portion</t>
  </si>
  <si>
    <t>Excess tax benefits from share-based payment arrangements</t>
  </si>
  <si>
    <t xml:space="preserve"> Revenue </t>
  </si>
  <si>
    <t xml:space="preserve"> Growth % </t>
  </si>
  <si>
    <t xml:space="preserve"> Footwear </t>
  </si>
  <si>
    <t xml:space="preserve"> Organic growth % </t>
  </si>
  <si>
    <t xml:space="preserve"> Currency impact % </t>
  </si>
  <si>
    <t xml:space="preserve"> Apparel </t>
  </si>
  <si>
    <t xml:space="preserve"> Equipment </t>
  </si>
  <si>
    <t xml:space="preserve"> EBITDA </t>
  </si>
  <si>
    <t xml:space="preserve"> Margin % </t>
  </si>
  <si>
    <t xml:space="preserve"> D&amp;A </t>
  </si>
  <si>
    <t xml:space="preserve"> As a  % of revenue </t>
  </si>
  <si>
    <t xml:space="preserve"> EBIT </t>
  </si>
  <si>
    <t xml:space="preserve"> Capex </t>
  </si>
  <si>
    <t>nm</t>
  </si>
  <si>
    <t>CORPORATE</t>
  </si>
  <si>
    <t>Link from Segmental Forecast sheet</t>
  </si>
  <si>
    <t>Calculate</t>
  </si>
  <si>
    <t>Cashflow</t>
  </si>
  <si>
    <t>13% tax rate - average of prior 4yrs</t>
  </si>
  <si>
    <t>Net income less Dividends Paid to Shareholders</t>
  </si>
  <si>
    <t>14% - average of prior 5yrs net WC as a % of Revenue</t>
  </si>
  <si>
    <t>Average of prior 5 years and kept constant</t>
  </si>
  <si>
    <t>6% of long term debt based on 2022</t>
  </si>
  <si>
    <t>43% - average of prior 5yrs Payout ratio</t>
  </si>
  <si>
    <t>DPS forecast using forecast Payout ratio</t>
  </si>
  <si>
    <t>Kept share count equal to previous year for now</t>
  </si>
  <si>
    <t>Average of prior 5 years cash interest as a % of opening Net Debt</t>
  </si>
  <si>
    <t>Capex change YoY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</si>
</sst>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9"/>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i/>
      <sz val="9"/>
      <color rgb="FF000000"/>
      <name val="Calibri"/>
      <family val="2"/>
      <scheme val="minor"/>
    </font>
    <font>
      <i/>
      <sz val="10"/>
      <color rgb="FF000000"/>
      <name val="Calibri"/>
      <family val="2"/>
      <scheme val="minor"/>
    </font>
    <font>
      <b/>
      <i/>
      <sz val="9"/>
      <color theme="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theme="4" tint="0.79998168889431442"/>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166" fontId="16" fillId="0" borderId="0" xfId="2" applyNumberFormat="1" applyFont="1" applyFill="1" applyAlignment="1">
      <alignment horizontal="right"/>
    </xf>
    <xf numFmtId="166" fontId="16" fillId="0" borderId="0" xfId="2" applyNumberFormat="1" applyFont="1" applyFill="1"/>
    <xf numFmtId="165" fontId="17" fillId="0" borderId="0" xfId="1" applyNumberFormat="1" applyFont="1" applyFill="1"/>
    <xf numFmtId="0" fontId="7" fillId="2" borderId="0" xfId="0" applyFont="1" applyFill="1" applyAlignment="1">
      <alignment horizontal="center"/>
    </xf>
    <xf numFmtId="0" fontId="2" fillId="0" borderId="0" xfId="0" applyFont="1" applyAlignment="1">
      <alignment wrapText="1"/>
    </xf>
    <xf numFmtId="0" fontId="0" fillId="0" borderId="0" xfId="0" applyAlignment="1">
      <alignment horizontal="left" wrapText="1"/>
    </xf>
    <xf numFmtId="165" fontId="19" fillId="0" borderId="0" xfId="0" applyNumberFormat="1" applyFont="1"/>
    <xf numFmtId="165" fontId="2" fillId="0" borderId="0" xfId="1" applyNumberFormat="1" applyFont="1" applyFill="1" applyBorder="1"/>
    <xf numFmtId="10" fontId="0" fillId="0" borderId="0" xfId="0" applyNumberFormat="1"/>
    <xf numFmtId="10" fontId="2" fillId="0" borderId="0" xfId="1" applyNumberFormat="1" applyFont="1" applyFill="1" applyBorder="1"/>
    <xf numFmtId="10" fontId="0" fillId="0" borderId="0" xfId="1" applyNumberFormat="1" applyFont="1"/>
    <xf numFmtId="166" fontId="0" fillId="0" borderId="0" xfId="0" applyNumberFormat="1"/>
    <xf numFmtId="0" fontId="11" fillId="0" borderId="0" xfId="2" applyNumberFormat="1" applyFont="1" applyAlignment="1">
      <alignment horizontal="right"/>
    </xf>
    <xf numFmtId="165" fontId="20" fillId="0" borderId="0" xfId="0" applyNumberFormat="1" applyFont="1"/>
    <xf numFmtId="165" fontId="21" fillId="0" borderId="0" xfId="0" applyNumberFormat="1" applyFont="1" applyAlignment="1">
      <alignment horizontal="left" indent="2"/>
    </xf>
    <xf numFmtId="166" fontId="22" fillId="0" borderId="0" xfId="0" applyNumberFormat="1" applyFont="1" applyAlignment="1">
      <alignment horizontal="right"/>
    </xf>
    <xf numFmtId="165" fontId="19" fillId="0" borderId="0" xfId="0" applyNumberFormat="1" applyFont="1" applyAlignment="1">
      <alignment horizontal="left" indent="1"/>
    </xf>
    <xf numFmtId="165" fontId="21" fillId="0" borderId="0" xfId="0" applyNumberFormat="1" applyFont="1" applyAlignment="1">
      <alignment horizontal="left" indent="1"/>
    </xf>
    <xf numFmtId="0" fontId="22" fillId="0" borderId="0" xfId="0" applyFont="1" applyAlignment="1">
      <alignment horizontal="right"/>
    </xf>
    <xf numFmtId="165" fontId="23" fillId="0" borderId="0" xfId="1" applyNumberFormat="1" applyFont="1" applyAlignment="1">
      <alignment horizontal="left" indent="1"/>
    </xf>
    <xf numFmtId="165" fontId="0" fillId="0" borderId="0" xfId="1" applyNumberFormat="1" applyFont="1" applyFill="1"/>
    <xf numFmtId="164" fontId="0" fillId="0" borderId="0" xfId="1" applyFont="1" applyFill="1"/>
    <xf numFmtId="10" fontId="13" fillId="0" borderId="0" xfId="2" applyNumberFormat="1" applyFont="1" applyAlignment="1">
      <alignment horizontal="right"/>
    </xf>
    <xf numFmtId="164" fontId="18" fillId="0" borderId="0" xfId="1" applyFont="1" applyBorder="1"/>
    <xf numFmtId="165" fontId="2" fillId="0" borderId="4" xfId="1" applyNumberFormat="1" applyFont="1" applyFill="1" applyBorder="1"/>
    <xf numFmtId="165" fontId="0" fillId="9" borderId="0" xfId="1" applyNumberFormat="1" applyFont="1" applyFill="1"/>
    <xf numFmtId="0" fontId="0" fillId="10" borderId="0" xfId="0" applyFill="1" applyAlignment="1">
      <alignment wrapText="1"/>
    </xf>
    <xf numFmtId="165" fontId="0" fillId="10" borderId="0" xfId="1" applyNumberFormat="1" applyFont="1" applyFill="1"/>
    <xf numFmtId="165" fontId="13" fillId="10" borderId="0" xfId="1" applyNumberFormat="1" applyFont="1" applyFill="1" applyAlignment="1">
      <alignment horizontal="left" indent="1"/>
    </xf>
    <xf numFmtId="0" fontId="0" fillId="10" borderId="0" xfId="0" applyFill="1"/>
    <xf numFmtId="9" fontId="0" fillId="0" borderId="0" xfId="2" applyFont="1"/>
    <xf numFmtId="9" fontId="13" fillId="10" borderId="0" xfId="2" applyFont="1" applyFill="1" applyAlignment="1">
      <alignment horizontal="right"/>
    </xf>
    <xf numFmtId="166" fontId="13" fillId="10" borderId="0" xfId="2" applyNumberFormat="1" applyFont="1" applyFill="1" applyAlignment="1">
      <alignment horizontal="right"/>
    </xf>
    <xf numFmtId="164" fontId="0" fillId="10" borderId="0" xfId="1" applyFont="1" applyFill="1"/>
    <xf numFmtId="165" fontId="2" fillId="10" borderId="0" xfId="1" applyNumberFormat="1" applyFont="1" applyFill="1" applyBorder="1"/>
    <xf numFmtId="165" fontId="20" fillId="10" borderId="0" xfId="0" applyNumberFormat="1" applyFont="1" applyFill="1"/>
    <xf numFmtId="166" fontId="0" fillId="0" borderId="0" xfId="2" applyNumberFormat="1" applyFont="1"/>
    <xf numFmtId="166" fontId="0" fillId="10" borderId="0" xfId="2"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opLeftCell="A6" zoomScale="122" workbookViewId="0">
      <selection activeCell="A14" sqref="A14"/>
    </sheetView>
  </sheetViews>
  <sheetFormatPr defaultRowHeight="14.4" x14ac:dyDescent="0.3"/>
  <cols>
    <col min="1" max="1" width="131.5546875" style="19" customWidth="1"/>
  </cols>
  <sheetData>
    <row r="1" spans="1:1" ht="23.4" x14ac:dyDescent="0.45">
      <c r="A1" s="18" t="s">
        <v>20</v>
      </c>
    </row>
    <row r="2" spans="1:1" ht="28.8" x14ac:dyDescent="0.3">
      <c r="A2" s="19" t="s">
        <v>218</v>
      </c>
    </row>
    <row r="3" spans="1:1" x14ac:dyDescent="0.3">
      <c r="A3" s="63" t="s">
        <v>148</v>
      </c>
    </row>
    <row r="4" spans="1:1" x14ac:dyDescent="0.3">
      <c r="A4" s="64" t="s">
        <v>217</v>
      </c>
    </row>
    <row r="5" spans="1:1" x14ac:dyDescent="0.3">
      <c r="A5" s="19" t="s">
        <v>211</v>
      </c>
    </row>
    <row r="6" spans="1:1" x14ac:dyDescent="0.3">
      <c r="A6" s="19" t="s">
        <v>212</v>
      </c>
    </row>
    <row r="7" spans="1:1" x14ac:dyDescent="0.3">
      <c r="A7" s="19" t="s">
        <v>215</v>
      </c>
    </row>
    <row r="9" spans="1:1" x14ac:dyDescent="0.3">
      <c r="A9" s="63" t="s">
        <v>198</v>
      </c>
    </row>
    <row r="10" spans="1:1" x14ac:dyDescent="0.3">
      <c r="A10" s="85" t="s">
        <v>199</v>
      </c>
    </row>
    <row r="11" spans="1:1" x14ac:dyDescent="0.3">
      <c r="A11" s="85" t="s">
        <v>200</v>
      </c>
    </row>
    <row r="12" spans="1:1" x14ac:dyDescent="0.3">
      <c r="A12" s="85" t="s">
        <v>201</v>
      </c>
    </row>
    <row r="13" spans="1:1" x14ac:dyDescent="0.3">
      <c r="A13" s="85" t="s">
        <v>202</v>
      </c>
    </row>
    <row r="14" spans="1:1" x14ac:dyDescent="0.3">
      <c r="A14" s="85" t="s">
        <v>213</v>
      </c>
    </row>
    <row r="15" spans="1:1" x14ac:dyDescent="0.3">
      <c r="A15" s="85" t="s">
        <v>203</v>
      </c>
    </row>
    <row r="16" spans="1:1" x14ac:dyDescent="0.3">
      <c r="A16" s="85" t="s">
        <v>204</v>
      </c>
    </row>
    <row r="17" spans="1:1" x14ac:dyDescent="0.3">
      <c r="A17" s="85" t="s">
        <v>205</v>
      </c>
    </row>
    <row r="18" spans="1:1" x14ac:dyDescent="0.3">
      <c r="A18" s="85" t="s">
        <v>206</v>
      </c>
    </row>
    <row r="19" spans="1:1" x14ac:dyDescent="0.3">
      <c r="A19" s="85" t="s">
        <v>207</v>
      </c>
    </row>
    <row r="20" spans="1:1" x14ac:dyDescent="0.3">
      <c r="A20" s="85" t="s">
        <v>208</v>
      </c>
    </row>
    <row r="21" spans="1:1" x14ac:dyDescent="0.3">
      <c r="A21" s="85" t="s">
        <v>209</v>
      </c>
    </row>
    <row r="22" spans="1:1" x14ac:dyDescent="0.3">
      <c r="A22" s="85" t="s">
        <v>210</v>
      </c>
    </row>
    <row r="24" spans="1:1" ht="28.8" x14ac:dyDescent="0.3">
      <c r="A24" s="19" t="s">
        <v>219</v>
      </c>
    </row>
    <row r="26" spans="1:1" x14ac:dyDescent="0.3">
      <c r="A26" s="19" t="s">
        <v>214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zoomScale="126" workbookViewId="0">
      <pane ySplit="1" topLeftCell="A2" activePane="bottomLeft" state="frozen"/>
      <selection pane="bottomLeft"/>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c r="C2" s="3"/>
      <c r="D2" s="3"/>
      <c r="E2" s="3"/>
      <c r="F2" s="3"/>
      <c r="G2" s="3"/>
      <c r="H2" s="3">
        <v>44538</v>
      </c>
      <c r="I2" s="3">
        <v>46710</v>
      </c>
    </row>
    <row r="3" spans="1:9" x14ac:dyDescent="0.3">
      <c r="A3" s="22" t="s">
        <v>28</v>
      </c>
      <c r="B3" s="23"/>
      <c r="C3" s="23"/>
      <c r="D3" s="23"/>
      <c r="E3" s="23"/>
      <c r="F3" s="23"/>
      <c r="G3" s="23"/>
      <c r="H3" s="23">
        <v>24576</v>
      </c>
      <c r="I3" s="23">
        <v>25231</v>
      </c>
    </row>
    <row r="4" spans="1:9" s="1" customFormat="1" x14ac:dyDescent="0.3">
      <c r="A4" s="1" t="s">
        <v>4</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3">
      <c r="A5" s="11" t="s">
        <v>21</v>
      </c>
      <c r="B5" s="3"/>
      <c r="C5" s="3"/>
      <c r="D5" s="3"/>
      <c r="E5" s="3"/>
      <c r="F5" s="3"/>
      <c r="G5" s="3"/>
      <c r="H5" s="3">
        <v>3114</v>
      </c>
      <c r="I5" s="3">
        <v>3850</v>
      </c>
    </row>
    <row r="6" spans="1:9" x14ac:dyDescent="0.3">
      <c r="A6" s="11" t="s">
        <v>22</v>
      </c>
      <c r="B6" s="3"/>
      <c r="C6" s="3"/>
      <c r="D6" s="3"/>
      <c r="E6" s="3"/>
      <c r="F6" s="3"/>
      <c r="G6" s="3"/>
      <c r="H6" s="3">
        <v>9911</v>
      </c>
      <c r="I6" s="3">
        <v>10954</v>
      </c>
    </row>
    <row r="7" spans="1:9" x14ac:dyDescent="0.3">
      <c r="A7" s="21" t="s">
        <v>23</v>
      </c>
      <c r="B7" s="20">
        <f t="shared" ref="B7:H7" si="2">+B5+B6</f>
        <v>0</v>
      </c>
      <c r="C7" s="20">
        <f t="shared" si="2"/>
        <v>0</v>
      </c>
      <c r="D7" s="20">
        <f t="shared" si="2"/>
        <v>0</v>
      </c>
      <c r="E7" s="20">
        <f t="shared" si="2"/>
        <v>0</v>
      </c>
      <c r="F7" s="20">
        <f t="shared" si="2"/>
        <v>0</v>
      </c>
      <c r="G7" s="20">
        <f t="shared" si="2"/>
        <v>0</v>
      </c>
      <c r="H7" s="20">
        <f t="shared" si="2"/>
        <v>13025</v>
      </c>
      <c r="I7" s="20">
        <f>+I5+I6</f>
        <v>14804</v>
      </c>
    </row>
    <row r="8" spans="1:9" x14ac:dyDescent="0.3">
      <c r="A8" s="2" t="s">
        <v>24</v>
      </c>
      <c r="B8" s="3"/>
      <c r="C8" s="3"/>
      <c r="D8" s="3"/>
      <c r="E8" s="3"/>
      <c r="F8" s="3"/>
      <c r="G8" s="3"/>
      <c r="H8" s="3">
        <v>262</v>
      </c>
      <c r="I8" s="3">
        <v>205</v>
      </c>
    </row>
    <row r="9" spans="1:9" x14ac:dyDescent="0.3">
      <c r="A9" s="2" t="s">
        <v>5</v>
      </c>
      <c r="B9" s="3"/>
      <c r="C9" s="3"/>
      <c r="D9" s="3"/>
      <c r="E9" s="3"/>
      <c r="F9" s="3"/>
      <c r="G9" s="3"/>
      <c r="H9" s="3">
        <v>14</v>
      </c>
      <c r="I9" s="3">
        <v>-181</v>
      </c>
    </row>
    <row r="10" spans="1:9" x14ac:dyDescent="0.3">
      <c r="A10" s="4" t="s">
        <v>25</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3">
      <c r="A11" s="2" t="s">
        <v>26</v>
      </c>
      <c r="B11" s="3"/>
      <c r="C11" s="3"/>
      <c r="D11" s="3"/>
      <c r="E11" s="3"/>
      <c r="F11" s="3"/>
      <c r="G11" s="3"/>
      <c r="H11" s="3">
        <v>934</v>
      </c>
      <c r="I11" s="3">
        <v>605</v>
      </c>
    </row>
    <row r="12" spans="1:9" ht="15" thickBot="1" x14ac:dyDescent="0.35">
      <c r="A12" s="6" t="s">
        <v>29</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 thickTop="1" x14ac:dyDescent="0.3">
      <c r="A13" s="1" t="s">
        <v>8</v>
      </c>
    </row>
    <row r="14" spans="1:9" x14ac:dyDescent="0.3">
      <c r="A14" s="2" t="s">
        <v>6</v>
      </c>
      <c r="H14">
        <v>3.64</v>
      </c>
      <c r="I14">
        <v>3.83</v>
      </c>
    </row>
    <row r="15" spans="1:9" x14ac:dyDescent="0.3">
      <c r="A15" s="2" t="s">
        <v>7</v>
      </c>
      <c r="H15">
        <v>3.56</v>
      </c>
      <c r="I15">
        <v>3.75</v>
      </c>
    </row>
    <row r="16" spans="1:9" x14ac:dyDescent="0.3">
      <c r="A16" s="1" t="s">
        <v>9</v>
      </c>
    </row>
    <row r="17" spans="1:9" x14ac:dyDescent="0.3">
      <c r="A17" s="2" t="s">
        <v>6</v>
      </c>
      <c r="G17" s="8"/>
      <c r="H17" s="8">
        <v>1573</v>
      </c>
      <c r="I17" s="8">
        <v>1578.8</v>
      </c>
    </row>
    <row r="18" spans="1:9" x14ac:dyDescent="0.3">
      <c r="A18" s="2" t="s">
        <v>7</v>
      </c>
      <c r="G18" s="8"/>
      <c r="H18" s="8">
        <v>1609.4</v>
      </c>
      <c r="I18" s="8">
        <v>1610.8</v>
      </c>
    </row>
    <row r="20" spans="1:9" s="12" customFormat="1" x14ac:dyDescent="0.3">
      <c r="A20" s="12" t="s">
        <v>2</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c r="C25" s="3"/>
      <c r="D25" s="3"/>
      <c r="E25" s="3"/>
      <c r="F25" s="3"/>
      <c r="G25" s="3"/>
      <c r="H25" s="3">
        <v>9889</v>
      </c>
      <c r="I25" s="3">
        <v>8574</v>
      </c>
    </row>
    <row r="26" spans="1:9" x14ac:dyDescent="0.3">
      <c r="A26" s="11" t="s">
        <v>33</v>
      </c>
      <c r="B26" s="3"/>
      <c r="C26" s="3"/>
      <c r="D26" s="3"/>
      <c r="E26" s="3"/>
      <c r="F26" s="3"/>
      <c r="G26" s="3"/>
      <c r="H26" s="3">
        <v>3587</v>
      </c>
      <c r="I26" s="3">
        <v>4423</v>
      </c>
    </row>
    <row r="27" spans="1:9" x14ac:dyDescent="0.3">
      <c r="A27" s="11" t="s">
        <v>34</v>
      </c>
      <c r="B27" s="3"/>
      <c r="C27" s="3"/>
      <c r="D27" s="3"/>
      <c r="E27" s="3"/>
      <c r="F27" s="3"/>
      <c r="G27" s="3"/>
      <c r="H27" s="3">
        <v>4463</v>
      </c>
      <c r="I27" s="3">
        <v>4667</v>
      </c>
    </row>
    <row r="28" spans="1:9" x14ac:dyDescent="0.3">
      <c r="A28" s="11" t="s">
        <v>35</v>
      </c>
      <c r="B28" s="3"/>
      <c r="C28" s="3"/>
      <c r="D28" s="3"/>
      <c r="E28" s="3"/>
      <c r="F28" s="3"/>
      <c r="G28" s="3"/>
      <c r="H28" s="3">
        <v>6854</v>
      </c>
      <c r="I28" s="3">
        <v>8420</v>
      </c>
    </row>
    <row r="29" spans="1:9" x14ac:dyDescent="0.3">
      <c r="A29" s="11" t="s">
        <v>36</v>
      </c>
      <c r="B29" s="3"/>
      <c r="C29" s="3"/>
      <c r="D29" s="3"/>
      <c r="E29" s="3"/>
      <c r="F29" s="3"/>
      <c r="G29" s="3"/>
      <c r="H29" s="3">
        <v>1498</v>
      </c>
      <c r="I29" s="3">
        <v>2129</v>
      </c>
    </row>
    <row r="30" spans="1:9" x14ac:dyDescent="0.3">
      <c r="A30" s="4" t="s">
        <v>10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3">
      <c r="A31" s="2" t="s">
        <v>37</v>
      </c>
      <c r="B31" s="3"/>
      <c r="C31" s="3"/>
      <c r="D31" s="3"/>
      <c r="E31" s="3"/>
      <c r="F31" s="3"/>
      <c r="G31" s="3"/>
      <c r="H31" s="3">
        <v>4904</v>
      </c>
      <c r="I31" s="3">
        <v>4791</v>
      </c>
    </row>
    <row r="32" spans="1:9" x14ac:dyDescent="0.3">
      <c r="A32" s="2" t="s">
        <v>38</v>
      </c>
      <c r="B32" s="3"/>
      <c r="C32" s="3"/>
      <c r="D32" s="3"/>
      <c r="E32" s="3"/>
      <c r="F32" s="3"/>
      <c r="G32" s="3"/>
      <c r="H32" s="3">
        <v>3113</v>
      </c>
      <c r="I32" s="3">
        <v>2926</v>
      </c>
    </row>
    <row r="33" spans="1:9" x14ac:dyDescent="0.3">
      <c r="A33" s="2" t="s">
        <v>39</v>
      </c>
      <c r="B33" s="3"/>
      <c r="C33" s="3"/>
      <c r="D33" s="3"/>
      <c r="E33" s="3"/>
      <c r="F33" s="3"/>
      <c r="G33" s="3"/>
      <c r="H33" s="3">
        <v>269</v>
      </c>
      <c r="I33" s="3">
        <v>286</v>
      </c>
    </row>
    <row r="34" spans="1:9" x14ac:dyDescent="0.3">
      <c r="A34" s="2" t="s">
        <v>40</v>
      </c>
      <c r="B34" s="3"/>
      <c r="C34" s="3"/>
      <c r="D34" s="3"/>
      <c r="E34" s="3"/>
      <c r="F34" s="3"/>
      <c r="G34" s="3"/>
      <c r="H34" s="3">
        <v>242</v>
      </c>
      <c r="I34" s="3">
        <v>284</v>
      </c>
    </row>
    <row r="35" spans="1:9" x14ac:dyDescent="0.3">
      <c r="A35" s="2" t="s">
        <v>41</v>
      </c>
      <c r="B35" s="3"/>
      <c r="C35" s="3"/>
      <c r="D35" s="3"/>
      <c r="E35" s="3"/>
      <c r="F35" s="3"/>
      <c r="G35" s="3"/>
      <c r="H35" s="3">
        <v>2921</v>
      </c>
      <c r="I35" s="3">
        <v>3821</v>
      </c>
    </row>
    <row r="36" spans="1:9" ht="15" thickBot="1" x14ac:dyDescent="0.35">
      <c r="A36" s="6" t="s">
        <v>42</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c r="C39" s="3"/>
      <c r="D39" s="3"/>
      <c r="E39" s="3"/>
      <c r="F39" s="3"/>
      <c r="G39" s="3"/>
      <c r="H39" s="3">
        <v>0</v>
      </c>
      <c r="I39" s="3">
        <v>500</v>
      </c>
    </row>
    <row r="40" spans="1:9" x14ac:dyDescent="0.3">
      <c r="A40" s="11" t="s">
        <v>46</v>
      </c>
      <c r="B40" s="3"/>
      <c r="C40" s="3"/>
      <c r="D40" s="3"/>
      <c r="E40" s="3"/>
      <c r="F40" s="3"/>
      <c r="G40" s="3"/>
      <c r="H40" s="3">
        <v>2</v>
      </c>
      <c r="I40" s="3">
        <v>10</v>
      </c>
    </row>
    <row r="41" spans="1:9" x14ac:dyDescent="0.3">
      <c r="A41" s="11" t="s">
        <v>11</v>
      </c>
      <c r="B41" s="3"/>
      <c r="C41" s="3"/>
      <c r="D41" s="3"/>
      <c r="E41" s="3"/>
      <c r="F41" s="3"/>
      <c r="G41" s="3"/>
      <c r="H41" s="3">
        <v>2836</v>
      </c>
      <c r="I41" s="3">
        <v>3358</v>
      </c>
    </row>
    <row r="42" spans="1:9" x14ac:dyDescent="0.3">
      <c r="A42" s="11" t="s">
        <v>47</v>
      </c>
      <c r="B42" s="3"/>
      <c r="C42" s="3"/>
      <c r="D42" s="3"/>
      <c r="E42" s="3"/>
      <c r="F42" s="3"/>
      <c r="G42" s="3"/>
      <c r="H42" s="3">
        <v>467</v>
      </c>
      <c r="I42" s="3">
        <v>420</v>
      </c>
    </row>
    <row r="43" spans="1:9" x14ac:dyDescent="0.3">
      <c r="A43" s="11" t="s">
        <v>12</v>
      </c>
      <c r="B43" s="3"/>
      <c r="C43" s="3"/>
      <c r="D43" s="3"/>
      <c r="E43" s="3"/>
      <c r="F43" s="3"/>
      <c r="G43" s="3"/>
      <c r="H43" s="3">
        <v>6063</v>
      </c>
      <c r="I43" s="3">
        <v>6220</v>
      </c>
    </row>
    <row r="44" spans="1:9" x14ac:dyDescent="0.3">
      <c r="A44" s="11" t="s">
        <v>48</v>
      </c>
      <c r="B44" s="3"/>
      <c r="C44" s="3"/>
      <c r="D44" s="3"/>
      <c r="E44" s="3"/>
      <c r="F44" s="3"/>
      <c r="G44" s="3"/>
      <c r="H44" s="3">
        <v>306</v>
      </c>
      <c r="I44" s="3">
        <v>222</v>
      </c>
    </row>
    <row r="45" spans="1:9" x14ac:dyDescent="0.3">
      <c r="A45" s="4" t="s">
        <v>13</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3">
      <c r="A46" s="2" t="s">
        <v>49</v>
      </c>
      <c r="B46" s="3"/>
      <c r="C46" s="3"/>
      <c r="D46" s="3"/>
      <c r="E46" s="3"/>
      <c r="F46" s="3"/>
      <c r="G46" s="3"/>
      <c r="H46" s="3">
        <v>9413</v>
      </c>
      <c r="I46" s="3">
        <v>8920</v>
      </c>
    </row>
    <row r="47" spans="1:9" x14ac:dyDescent="0.3">
      <c r="A47" s="2" t="s">
        <v>50</v>
      </c>
      <c r="B47" s="3"/>
      <c r="C47" s="3"/>
      <c r="D47" s="3"/>
      <c r="E47" s="3"/>
      <c r="F47" s="3"/>
      <c r="G47" s="3"/>
      <c r="H47" s="3">
        <v>2931</v>
      </c>
      <c r="I47" s="3">
        <v>2777</v>
      </c>
    </row>
    <row r="48" spans="1:9" x14ac:dyDescent="0.3">
      <c r="A48" s="2" t="s">
        <v>51</v>
      </c>
      <c r="B48" s="3"/>
      <c r="C48" s="3"/>
      <c r="D48" s="3"/>
      <c r="E48" s="3"/>
      <c r="F48" s="3"/>
      <c r="G48" s="3"/>
      <c r="H48" s="3">
        <v>2955</v>
      </c>
      <c r="I48" s="3">
        <v>2613</v>
      </c>
    </row>
    <row r="49" spans="1:9" x14ac:dyDescent="0.3">
      <c r="A49" s="2" t="s">
        <v>52</v>
      </c>
      <c r="B49" s="3"/>
      <c r="C49" s="3"/>
      <c r="D49" s="3"/>
      <c r="E49" s="3"/>
      <c r="F49" s="3"/>
      <c r="G49" s="3"/>
      <c r="H49" s="3"/>
      <c r="I49" s="3"/>
    </row>
    <row r="50" spans="1:9" x14ac:dyDescent="0.3">
      <c r="A50" s="11" t="s">
        <v>53</v>
      </c>
      <c r="B50" s="3"/>
      <c r="C50" s="3"/>
      <c r="D50" s="3"/>
      <c r="E50" s="3"/>
      <c r="F50" s="3"/>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c r="C53" s="3"/>
      <c r="D53" s="3"/>
      <c r="E53" s="3"/>
      <c r="F53" s="3"/>
      <c r="G53" s="3"/>
      <c r="H53" s="3"/>
      <c r="I53" s="3"/>
    </row>
    <row r="54" spans="1:9" x14ac:dyDescent="0.3">
      <c r="A54" s="17" t="s">
        <v>57</v>
      </c>
      <c r="B54" s="3"/>
      <c r="C54" s="3"/>
      <c r="D54" s="3"/>
      <c r="E54" s="3"/>
      <c r="F54" s="3"/>
      <c r="G54" s="3"/>
      <c r="H54" s="3">
        <v>3</v>
      </c>
      <c r="I54" s="3">
        <v>3</v>
      </c>
    </row>
    <row r="55" spans="1:9" x14ac:dyDescent="0.3">
      <c r="A55" s="17" t="s">
        <v>58</v>
      </c>
      <c r="B55" s="3"/>
      <c r="C55" s="3"/>
      <c r="D55" s="3"/>
      <c r="E55" s="3"/>
      <c r="F55" s="3"/>
      <c r="G55" s="3"/>
      <c r="H55" s="3">
        <v>9965</v>
      </c>
      <c r="I55" s="3">
        <v>11484</v>
      </c>
    </row>
    <row r="56" spans="1:9" x14ac:dyDescent="0.3">
      <c r="A56" s="17" t="s">
        <v>59</v>
      </c>
      <c r="B56" s="3"/>
      <c r="C56" s="3"/>
      <c r="D56" s="3"/>
      <c r="E56" s="3"/>
      <c r="F56" s="3"/>
      <c r="G56" s="3"/>
      <c r="H56" s="3">
        <v>-380</v>
      </c>
      <c r="I56" s="3">
        <v>318</v>
      </c>
    </row>
    <row r="57" spans="1:9" x14ac:dyDescent="0.3">
      <c r="A57" s="17" t="s">
        <v>60</v>
      </c>
      <c r="B57" s="3"/>
      <c r="C57" s="3"/>
      <c r="D57" s="3"/>
      <c r="E57" s="3"/>
      <c r="F57" s="3"/>
      <c r="G57" s="3"/>
      <c r="H57" s="3">
        <v>3179</v>
      </c>
      <c r="I57" s="3">
        <v>3476</v>
      </c>
    </row>
    <row r="58" spans="1:9" x14ac:dyDescent="0.3">
      <c r="A58" s="4" t="s">
        <v>61</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 thickBot="1" x14ac:dyDescent="0.35">
      <c r="A59" s="6" t="s">
        <v>62</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c r="C64" s="9"/>
      <c r="D64" s="9"/>
      <c r="E64" s="9"/>
      <c r="F64" s="9"/>
      <c r="G64" s="9"/>
      <c r="H64" s="9">
        <f>+H12</f>
        <v>5727</v>
      </c>
      <c r="I64" s="9">
        <f>+I12</f>
        <v>6046</v>
      </c>
    </row>
    <row r="65" spans="1:9" s="1" customFormat="1" x14ac:dyDescent="0.3">
      <c r="A65" s="2" t="s">
        <v>65</v>
      </c>
      <c r="B65" s="3"/>
      <c r="C65" s="3"/>
      <c r="D65" s="3"/>
      <c r="E65" s="3"/>
      <c r="F65" s="3"/>
      <c r="G65" s="3"/>
      <c r="H65" s="3"/>
      <c r="I65" s="3"/>
    </row>
    <row r="66" spans="1:9" x14ac:dyDescent="0.3">
      <c r="A66" s="11" t="s">
        <v>66</v>
      </c>
      <c r="B66" s="3"/>
      <c r="C66" s="3"/>
      <c r="D66" s="3"/>
      <c r="E66" s="3"/>
      <c r="F66" s="3"/>
      <c r="G66" s="3"/>
      <c r="H66" s="3">
        <v>744</v>
      </c>
      <c r="I66" s="3">
        <v>717</v>
      </c>
    </row>
    <row r="67" spans="1:9" x14ac:dyDescent="0.3">
      <c r="A67" s="11" t="s">
        <v>67</v>
      </c>
      <c r="B67" s="3"/>
      <c r="C67" s="3"/>
      <c r="D67" s="3"/>
      <c r="E67" s="3"/>
      <c r="F67" s="3"/>
      <c r="G67" s="3"/>
      <c r="H67" s="3">
        <v>-385</v>
      </c>
      <c r="I67" s="3">
        <v>-650</v>
      </c>
    </row>
    <row r="68" spans="1:9" x14ac:dyDescent="0.3">
      <c r="A68" s="11" t="s">
        <v>68</v>
      </c>
      <c r="B68" s="3"/>
      <c r="C68" s="3"/>
      <c r="D68" s="3"/>
      <c r="E68" s="3"/>
      <c r="F68" s="3"/>
      <c r="G68" s="3"/>
      <c r="H68" s="3">
        <v>611</v>
      </c>
      <c r="I68" s="3">
        <v>638</v>
      </c>
    </row>
    <row r="69" spans="1:9" x14ac:dyDescent="0.3">
      <c r="A69" s="11" t="s">
        <v>69</v>
      </c>
      <c r="B69" s="3"/>
      <c r="C69" s="3"/>
      <c r="D69" s="3"/>
      <c r="E69" s="3"/>
      <c r="F69" s="3"/>
      <c r="G69" s="3"/>
      <c r="H69" s="3">
        <v>53</v>
      </c>
      <c r="I69" s="3">
        <v>123</v>
      </c>
    </row>
    <row r="70" spans="1:9" x14ac:dyDescent="0.3">
      <c r="A70" s="11" t="s">
        <v>70</v>
      </c>
      <c r="B70" s="3"/>
      <c r="C70" s="3"/>
      <c r="D70" s="3"/>
      <c r="E70" s="3"/>
      <c r="F70" s="3"/>
      <c r="G70" s="3"/>
      <c r="H70" s="3">
        <v>-138</v>
      </c>
      <c r="I70" s="3">
        <v>-26</v>
      </c>
    </row>
    <row r="71" spans="1:9" x14ac:dyDescent="0.3">
      <c r="A71" s="2" t="s">
        <v>71</v>
      </c>
      <c r="B71" s="3"/>
      <c r="C71" s="3"/>
      <c r="D71" s="3"/>
      <c r="E71" s="3"/>
      <c r="F71" s="3"/>
      <c r="G71" s="3"/>
      <c r="H71" s="3"/>
      <c r="I71" s="3"/>
    </row>
    <row r="72" spans="1:9" x14ac:dyDescent="0.3">
      <c r="A72" s="11" t="s">
        <v>72</v>
      </c>
      <c r="B72" s="3"/>
      <c r="C72" s="3"/>
      <c r="D72" s="3"/>
      <c r="E72" s="3"/>
      <c r="F72" s="3"/>
      <c r="G72" s="3"/>
      <c r="H72" s="3">
        <v>-1606</v>
      </c>
      <c r="I72" s="3">
        <v>-504</v>
      </c>
    </row>
    <row r="73" spans="1:9" x14ac:dyDescent="0.3">
      <c r="A73" s="11" t="s">
        <v>73</v>
      </c>
      <c r="B73" s="3"/>
      <c r="C73" s="3"/>
      <c r="D73" s="3"/>
      <c r="E73" s="3"/>
      <c r="F73" s="3"/>
      <c r="G73" s="3"/>
      <c r="H73" s="3">
        <v>507</v>
      </c>
      <c r="I73" s="3">
        <v>-1676</v>
      </c>
    </row>
    <row r="74" spans="1:9" x14ac:dyDescent="0.3">
      <c r="A74" s="11" t="s">
        <v>98</v>
      </c>
      <c r="B74" s="3"/>
      <c r="C74" s="3"/>
      <c r="D74" s="3"/>
      <c r="E74" s="3"/>
      <c r="F74" s="3"/>
      <c r="G74" s="3"/>
      <c r="H74" s="3">
        <v>-182</v>
      </c>
      <c r="I74" s="3">
        <v>-845</v>
      </c>
    </row>
    <row r="75" spans="1:9" x14ac:dyDescent="0.3">
      <c r="A75" s="11" t="s">
        <v>97</v>
      </c>
      <c r="B75" s="3"/>
      <c r="C75" s="3"/>
      <c r="D75" s="3"/>
      <c r="E75" s="3"/>
      <c r="F75" s="3"/>
      <c r="G75" s="3"/>
      <c r="H75" s="3">
        <v>1326</v>
      </c>
      <c r="I75" s="3">
        <v>1365</v>
      </c>
    </row>
    <row r="76" spans="1:9" x14ac:dyDescent="0.3">
      <c r="A76" s="24" t="s">
        <v>74</v>
      </c>
      <c r="B76" s="25">
        <f t="shared" ref="B76:H76" si="12">+SUM(B64:B75)</f>
        <v>0</v>
      </c>
      <c r="C76" s="25">
        <f t="shared" si="12"/>
        <v>0</v>
      </c>
      <c r="D76" s="25">
        <f t="shared" si="12"/>
        <v>0</v>
      </c>
      <c r="E76" s="25">
        <f t="shared" si="12"/>
        <v>0</v>
      </c>
      <c r="F76" s="25">
        <f t="shared" si="12"/>
        <v>0</v>
      </c>
      <c r="G76" s="25">
        <f t="shared" si="12"/>
        <v>0</v>
      </c>
      <c r="H76" s="25">
        <f t="shared" si="12"/>
        <v>6657</v>
      </c>
      <c r="I76" s="25">
        <f>+SUM(I64:I75)</f>
        <v>5188</v>
      </c>
    </row>
    <row r="77" spans="1:9" x14ac:dyDescent="0.3">
      <c r="A77" s="1" t="s">
        <v>75</v>
      </c>
      <c r="B77" s="3"/>
      <c r="C77" s="3"/>
      <c r="D77" s="3"/>
      <c r="E77" s="3"/>
      <c r="F77" s="3"/>
      <c r="G77" s="3"/>
      <c r="H77" s="3"/>
      <c r="I77" s="3"/>
    </row>
    <row r="78" spans="1:9" x14ac:dyDescent="0.3">
      <c r="A78" s="2" t="s">
        <v>76</v>
      </c>
      <c r="B78" s="3"/>
      <c r="C78" s="3"/>
      <c r="D78" s="3"/>
      <c r="E78" s="3"/>
      <c r="F78" s="3"/>
      <c r="G78" s="3"/>
      <c r="H78" s="3">
        <v>-9961</v>
      </c>
      <c r="I78" s="3">
        <v>-12913</v>
      </c>
    </row>
    <row r="79" spans="1:9" x14ac:dyDescent="0.3">
      <c r="A79" s="2" t="s">
        <v>77</v>
      </c>
      <c r="B79" s="3"/>
      <c r="C79" s="3"/>
      <c r="D79" s="3"/>
      <c r="E79" s="3"/>
      <c r="F79" s="3"/>
      <c r="G79" s="3"/>
      <c r="H79" s="3">
        <v>4236</v>
      </c>
      <c r="I79" s="3">
        <v>8199</v>
      </c>
    </row>
    <row r="80" spans="1:9" x14ac:dyDescent="0.3">
      <c r="A80" s="2" t="s">
        <v>78</v>
      </c>
      <c r="B80" s="3"/>
      <c r="C80" s="3"/>
      <c r="D80" s="3"/>
      <c r="E80" s="3"/>
      <c r="F80" s="3"/>
      <c r="G80" s="3"/>
      <c r="H80" s="3">
        <v>2449</v>
      </c>
      <c r="I80" s="3">
        <v>3967</v>
      </c>
    </row>
    <row r="81" spans="1:9" x14ac:dyDescent="0.3">
      <c r="A81" s="2" t="s">
        <v>14</v>
      </c>
      <c r="B81" s="3"/>
      <c r="C81" s="3"/>
      <c r="D81" s="3"/>
      <c r="E81" s="3"/>
      <c r="F81" s="3"/>
      <c r="G81" s="3"/>
      <c r="H81" s="3">
        <v>-695</v>
      </c>
      <c r="I81" s="3">
        <v>-758</v>
      </c>
    </row>
    <row r="82" spans="1:9" x14ac:dyDescent="0.3">
      <c r="A82" s="2" t="s">
        <v>79</v>
      </c>
      <c r="B82" s="3"/>
      <c r="C82" s="3"/>
      <c r="D82" s="3"/>
      <c r="E82" s="3"/>
      <c r="F82" s="3"/>
      <c r="G82" s="3"/>
      <c r="H82" s="3">
        <v>171</v>
      </c>
      <c r="I82" s="3">
        <v>-19</v>
      </c>
    </row>
    <row r="83" spans="1:9" x14ac:dyDescent="0.3">
      <c r="A83" s="26" t="s">
        <v>80</v>
      </c>
      <c r="B83" s="25">
        <f t="shared" ref="B83:H83" si="13">+SUM(B78:B82)</f>
        <v>0</v>
      </c>
      <c r="C83" s="25">
        <f t="shared" si="13"/>
        <v>0</v>
      </c>
      <c r="D83" s="25">
        <f t="shared" si="13"/>
        <v>0</v>
      </c>
      <c r="E83" s="25">
        <f t="shared" si="13"/>
        <v>0</v>
      </c>
      <c r="F83" s="25">
        <f t="shared" si="13"/>
        <v>0</v>
      </c>
      <c r="G83" s="25">
        <f t="shared" si="13"/>
        <v>0</v>
      </c>
      <c r="H83" s="25">
        <f t="shared" si="13"/>
        <v>-3800</v>
      </c>
      <c r="I83" s="25">
        <f>+SUM(I78:I82)</f>
        <v>-1524</v>
      </c>
    </row>
    <row r="84" spans="1:9" x14ac:dyDescent="0.3">
      <c r="A84" s="1" t="s">
        <v>81</v>
      </c>
      <c r="B84" s="3"/>
      <c r="C84" s="3"/>
      <c r="D84" s="3"/>
      <c r="E84" s="3"/>
      <c r="F84" s="3"/>
      <c r="G84" s="3"/>
      <c r="H84" s="3"/>
      <c r="I84" s="3"/>
    </row>
    <row r="85" spans="1:9" x14ac:dyDescent="0.3">
      <c r="A85" s="2" t="s">
        <v>82</v>
      </c>
      <c r="B85" s="3"/>
      <c r="C85" s="3"/>
      <c r="D85" s="3"/>
      <c r="E85" s="3"/>
      <c r="F85" s="3"/>
      <c r="G85" s="3"/>
      <c r="H85" s="3">
        <v>0</v>
      </c>
      <c r="I85" s="3">
        <v>0</v>
      </c>
    </row>
    <row r="86" spans="1:9" x14ac:dyDescent="0.3">
      <c r="A86" s="2" t="s">
        <v>83</v>
      </c>
      <c r="B86" s="3"/>
      <c r="C86" s="3"/>
      <c r="D86" s="3"/>
      <c r="E86" s="3"/>
      <c r="F86" s="3"/>
      <c r="G86" s="3"/>
      <c r="H86" s="3">
        <v>-52</v>
      </c>
      <c r="I86" s="3">
        <v>15</v>
      </c>
    </row>
    <row r="87" spans="1:9" x14ac:dyDescent="0.3">
      <c r="A87" s="2" t="s">
        <v>84</v>
      </c>
      <c r="B87" s="3"/>
      <c r="C87" s="3"/>
      <c r="D87" s="3"/>
      <c r="E87" s="3"/>
      <c r="F87" s="3"/>
      <c r="G87" s="3"/>
      <c r="H87" s="3">
        <v>-197</v>
      </c>
      <c r="I87" s="3">
        <v>0</v>
      </c>
    </row>
    <row r="88" spans="1:9" x14ac:dyDescent="0.3">
      <c r="A88" s="2" t="s">
        <v>85</v>
      </c>
      <c r="B88" s="3"/>
      <c r="C88" s="3"/>
      <c r="D88" s="3"/>
      <c r="E88" s="3"/>
      <c r="F88" s="3"/>
      <c r="G88" s="3"/>
      <c r="H88" s="3">
        <v>1172</v>
      </c>
      <c r="I88" s="3">
        <v>1151</v>
      </c>
    </row>
    <row r="89" spans="1:9" x14ac:dyDescent="0.3">
      <c r="A89" s="2" t="s">
        <v>16</v>
      </c>
      <c r="B89" s="3"/>
      <c r="C89" s="3"/>
      <c r="D89" s="3"/>
      <c r="E89" s="3"/>
      <c r="F89" s="3"/>
      <c r="G89" s="3"/>
      <c r="H89" s="3">
        <v>-608</v>
      </c>
      <c r="I89" s="3">
        <v>-4014</v>
      </c>
    </row>
    <row r="90" spans="1:9" x14ac:dyDescent="0.3">
      <c r="A90" s="2" t="s">
        <v>86</v>
      </c>
      <c r="B90" s="3"/>
      <c r="C90" s="3"/>
      <c r="D90" s="3"/>
      <c r="E90" s="3"/>
      <c r="F90" s="3"/>
      <c r="G90" s="3"/>
      <c r="H90" s="3">
        <v>-1638</v>
      </c>
      <c r="I90" s="3">
        <v>-1837</v>
      </c>
    </row>
    <row r="91" spans="1:9" x14ac:dyDescent="0.3">
      <c r="A91" s="2" t="s">
        <v>87</v>
      </c>
      <c r="B91" s="3"/>
      <c r="C91" s="3"/>
      <c r="D91" s="3"/>
      <c r="E91" s="3"/>
      <c r="F91" s="3"/>
      <c r="G91" s="3"/>
      <c r="H91" s="3">
        <v>-136</v>
      </c>
      <c r="I91" s="3">
        <v>-151</v>
      </c>
    </row>
    <row r="92" spans="1:9" x14ac:dyDescent="0.3">
      <c r="A92" s="26" t="s">
        <v>88</v>
      </c>
      <c r="B92" s="25">
        <f t="shared" ref="B92:H92" si="14">+SUM(B85:B91)</f>
        <v>0</v>
      </c>
      <c r="C92" s="25">
        <f t="shared" si="14"/>
        <v>0</v>
      </c>
      <c r="D92" s="25">
        <f t="shared" si="14"/>
        <v>0</v>
      </c>
      <c r="E92" s="25">
        <f t="shared" si="14"/>
        <v>0</v>
      </c>
      <c r="F92" s="25">
        <f t="shared" si="14"/>
        <v>0</v>
      </c>
      <c r="G92" s="25">
        <f t="shared" si="14"/>
        <v>0</v>
      </c>
      <c r="H92" s="25">
        <f t="shared" si="14"/>
        <v>-1459</v>
      </c>
      <c r="I92" s="25">
        <f>+SUM(I85:I91)</f>
        <v>-4836</v>
      </c>
    </row>
    <row r="93" spans="1:9" x14ac:dyDescent="0.3">
      <c r="A93" s="2" t="s">
        <v>89</v>
      </c>
      <c r="B93" s="3"/>
      <c r="C93" s="3"/>
      <c r="D93" s="3"/>
      <c r="E93" s="3"/>
      <c r="F93" s="3"/>
      <c r="G93" s="3"/>
      <c r="H93" s="3">
        <v>143</v>
      </c>
      <c r="I93" s="3">
        <v>-143</v>
      </c>
    </row>
    <row r="94" spans="1:9" x14ac:dyDescent="0.3">
      <c r="A94" s="26" t="s">
        <v>90</v>
      </c>
      <c r="B94" s="25">
        <f t="shared" ref="B94:H94" si="15">+B76+B83+B92+B93</f>
        <v>0</v>
      </c>
      <c r="C94" s="25">
        <f t="shared" si="15"/>
        <v>0</v>
      </c>
      <c r="D94" s="25">
        <f t="shared" si="15"/>
        <v>0</v>
      </c>
      <c r="E94" s="25">
        <f t="shared" si="15"/>
        <v>0</v>
      </c>
      <c r="F94" s="25">
        <f t="shared" si="15"/>
        <v>0</v>
      </c>
      <c r="G94" s="25">
        <f t="shared" si="15"/>
        <v>0</v>
      </c>
      <c r="H94" s="25">
        <f t="shared" si="15"/>
        <v>1541</v>
      </c>
      <c r="I94" s="25">
        <f>+I76+I83+I92+I93</f>
        <v>-1315</v>
      </c>
    </row>
    <row r="95" spans="1:9" x14ac:dyDescent="0.3">
      <c r="A95" t="s">
        <v>91</v>
      </c>
      <c r="B95" s="3"/>
      <c r="C95" s="3"/>
      <c r="D95" s="3"/>
      <c r="E95" s="3"/>
      <c r="F95" s="3"/>
      <c r="G95" s="3"/>
      <c r="H95" s="3">
        <v>8348</v>
      </c>
      <c r="I95" s="3">
        <f>+H96</f>
        <v>9889</v>
      </c>
    </row>
    <row r="96" spans="1:9" ht="15" thickBot="1" x14ac:dyDescent="0.35">
      <c r="A96" s="6" t="s">
        <v>92</v>
      </c>
      <c r="B96" s="7"/>
      <c r="C96" s="7"/>
      <c r="D96" s="7"/>
      <c r="E96" s="7"/>
      <c r="F96" s="7"/>
      <c r="G96" s="7"/>
      <c r="H96" s="7">
        <f>+H94+H95</f>
        <v>9889</v>
      </c>
      <c r="I96" s="7">
        <f>+I94+I95</f>
        <v>8574</v>
      </c>
    </row>
    <row r="97" spans="1:9" s="12" customFormat="1" ht="15" thickTop="1" x14ac:dyDescent="0.3">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s="3"/>
      <c r="C100" s="3"/>
      <c r="D100" s="3"/>
      <c r="E100" s="3"/>
      <c r="F100" s="3"/>
      <c r="G100" s="3"/>
      <c r="H100" s="3">
        <v>293</v>
      </c>
      <c r="I100" s="3">
        <v>290</v>
      </c>
    </row>
    <row r="101" spans="1:9" x14ac:dyDescent="0.3">
      <c r="A101" s="11" t="s">
        <v>18</v>
      </c>
      <c r="B101" s="3"/>
      <c r="C101" s="3"/>
      <c r="D101" s="3"/>
      <c r="E101" s="3"/>
      <c r="F101" s="3"/>
      <c r="G101" s="3"/>
      <c r="H101" s="3">
        <v>1177</v>
      </c>
      <c r="I101" s="3">
        <v>1231</v>
      </c>
    </row>
    <row r="102" spans="1:9" x14ac:dyDescent="0.3">
      <c r="A102" s="11" t="s">
        <v>95</v>
      </c>
      <c r="B102" s="3"/>
      <c r="C102" s="3"/>
      <c r="D102" s="3"/>
      <c r="E102" s="3"/>
      <c r="F102" s="3"/>
      <c r="G102" s="3"/>
      <c r="H102" s="3">
        <v>179</v>
      </c>
      <c r="I102" s="3">
        <v>160</v>
      </c>
    </row>
    <row r="103" spans="1:9" x14ac:dyDescent="0.3">
      <c r="A103" s="11" t="s">
        <v>96</v>
      </c>
      <c r="B103" s="3"/>
      <c r="C103" s="3"/>
      <c r="D103" s="3"/>
      <c r="E103" s="3"/>
      <c r="F103" s="3"/>
      <c r="G103" s="3"/>
      <c r="H103" s="3">
        <v>438</v>
      </c>
      <c r="I103" s="3">
        <v>480</v>
      </c>
    </row>
    <row r="105" spans="1:9" x14ac:dyDescent="0.3">
      <c r="A105" s="14" t="s">
        <v>99</v>
      </c>
      <c r="B105" s="14"/>
      <c r="C105" s="14"/>
      <c r="D105" s="14"/>
      <c r="E105" s="14"/>
      <c r="F105" s="14"/>
      <c r="G105" s="14"/>
      <c r="H105" s="14"/>
      <c r="I105" s="14"/>
    </row>
    <row r="106" spans="1:9" x14ac:dyDescent="0.3">
      <c r="A106" s="27" t="s">
        <v>109</v>
      </c>
      <c r="B106" s="3"/>
      <c r="C106" s="3"/>
      <c r="D106" s="3"/>
      <c r="E106" s="3"/>
      <c r="F106" s="3"/>
      <c r="G106" s="3"/>
      <c r="H106" s="3"/>
      <c r="I106" s="3"/>
    </row>
    <row r="107" spans="1:9" x14ac:dyDescent="0.3">
      <c r="A107" s="2" t="s">
        <v>100</v>
      </c>
      <c r="B107" s="3">
        <f t="shared" ref="B107:H107" si="17">+SUM(B108:B110)</f>
        <v>0</v>
      </c>
      <c r="C107" s="3">
        <f t="shared" si="17"/>
        <v>0</v>
      </c>
      <c r="D107" s="3">
        <f t="shared" si="17"/>
        <v>0</v>
      </c>
      <c r="E107" s="3">
        <f t="shared" si="17"/>
        <v>0</v>
      </c>
      <c r="F107" s="3">
        <f t="shared" si="17"/>
        <v>0</v>
      </c>
      <c r="G107" s="3">
        <f t="shared" si="17"/>
        <v>0</v>
      </c>
      <c r="H107" s="3">
        <f t="shared" si="17"/>
        <v>17179</v>
      </c>
      <c r="I107" s="3">
        <f>+SUM(I108:I110)</f>
        <v>18353</v>
      </c>
    </row>
    <row r="108" spans="1:9" x14ac:dyDescent="0.3">
      <c r="A108" s="11" t="s">
        <v>113</v>
      </c>
      <c r="H108" s="8">
        <v>11644</v>
      </c>
      <c r="I108" s="8">
        <v>12228</v>
      </c>
    </row>
    <row r="109" spans="1:9" x14ac:dyDescent="0.3">
      <c r="A109" s="11" t="s">
        <v>114</v>
      </c>
      <c r="H109" s="8">
        <v>5028</v>
      </c>
      <c r="I109" s="8">
        <v>5492</v>
      </c>
    </row>
    <row r="110" spans="1:9" x14ac:dyDescent="0.3">
      <c r="A110" s="11" t="s">
        <v>115</v>
      </c>
      <c r="H110">
        <v>507</v>
      </c>
      <c r="I110">
        <v>633</v>
      </c>
    </row>
    <row r="111" spans="1:9" x14ac:dyDescent="0.3">
      <c r="A111" s="2" t="s">
        <v>101</v>
      </c>
      <c r="B111" s="3">
        <f t="shared" ref="B111" si="18">+SUM(B112:B114)</f>
        <v>0</v>
      </c>
      <c r="C111" s="3">
        <f t="shared" ref="C111" si="19">+SUM(C112:C114)</f>
        <v>0</v>
      </c>
      <c r="D111" s="3">
        <f t="shared" ref="D111" si="20">+SUM(D112:D114)</f>
        <v>0</v>
      </c>
      <c r="E111" s="3">
        <f t="shared" ref="E111" si="21">+SUM(E112:E114)</f>
        <v>0</v>
      </c>
      <c r="F111" s="3">
        <f t="shared" ref="F111" si="22">+SUM(F112:F114)</f>
        <v>0</v>
      </c>
      <c r="G111" s="3">
        <f t="shared" ref="G111" si="23">+SUM(G112:G114)</f>
        <v>0</v>
      </c>
      <c r="H111" s="3">
        <f t="shared" ref="H111" si="24">+SUM(H112:H114)</f>
        <v>11456</v>
      </c>
      <c r="I111" s="3">
        <f>+SUM(I112:I114)</f>
        <v>12479</v>
      </c>
    </row>
    <row r="112" spans="1:9" x14ac:dyDescent="0.3">
      <c r="A112" s="11" t="s">
        <v>113</v>
      </c>
      <c r="H112" s="8">
        <v>6970</v>
      </c>
      <c r="I112" s="8">
        <v>7388</v>
      </c>
    </row>
    <row r="113" spans="1:9" x14ac:dyDescent="0.3">
      <c r="A113" s="11" t="s">
        <v>114</v>
      </c>
      <c r="H113" s="8">
        <v>3996</v>
      </c>
      <c r="I113" s="8">
        <v>4527</v>
      </c>
    </row>
    <row r="114" spans="1:9" x14ac:dyDescent="0.3">
      <c r="A114" s="11" t="s">
        <v>115</v>
      </c>
      <c r="H114">
        <v>490</v>
      </c>
      <c r="I114">
        <v>564</v>
      </c>
    </row>
    <row r="115" spans="1:9" x14ac:dyDescent="0.3">
      <c r="A115" s="2" t="s">
        <v>102</v>
      </c>
      <c r="B115" s="3">
        <f t="shared" ref="B115" si="25">+SUM(B116:B118)</f>
        <v>0</v>
      </c>
      <c r="C115" s="3">
        <f t="shared" ref="C115" si="26">+SUM(C116:C118)</f>
        <v>0</v>
      </c>
      <c r="D115" s="3">
        <f t="shared" ref="D115" si="27">+SUM(D116:D118)</f>
        <v>0</v>
      </c>
      <c r="E115" s="3">
        <f t="shared" ref="E115" si="28">+SUM(E116:E118)</f>
        <v>0</v>
      </c>
      <c r="F115" s="3">
        <f t="shared" ref="F115" si="29">+SUM(F116:F118)</f>
        <v>0</v>
      </c>
      <c r="G115" s="3">
        <f t="shared" ref="G115" si="30">+SUM(G116:G118)</f>
        <v>0</v>
      </c>
      <c r="H115" s="3">
        <f t="shared" ref="H115" si="31">+SUM(H116:H118)</f>
        <v>8290</v>
      </c>
      <c r="I115" s="3">
        <f>+SUM(I116:I118)</f>
        <v>7547</v>
      </c>
    </row>
    <row r="116" spans="1:9" x14ac:dyDescent="0.3">
      <c r="A116" s="11" t="s">
        <v>113</v>
      </c>
      <c r="H116" s="8">
        <v>5748</v>
      </c>
      <c r="I116" s="8">
        <v>5416</v>
      </c>
    </row>
    <row r="117" spans="1:9" x14ac:dyDescent="0.3">
      <c r="A117" s="11" t="s">
        <v>114</v>
      </c>
      <c r="H117" s="8">
        <v>2347</v>
      </c>
      <c r="I117" s="8">
        <v>1938</v>
      </c>
    </row>
    <row r="118" spans="1:9" x14ac:dyDescent="0.3">
      <c r="A118" s="11" t="s">
        <v>115</v>
      </c>
      <c r="H118">
        <v>195</v>
      </c>
      <c r="I118">
        <v>193</v>
      </c>
    </row>
    <row r="119" spans="1:9" x14ac:dyDescent="0.3">
      <c r="A119" s="2" t="s">
        <v>106</v>
      </c>
      <c r="B119" s="3">
        <f t="shared" ref="B119" si="32">+SUM(B120:B122)</f>
        <v>0</v>
      </c>
      <c r="C119" s="3">
        <f t="shared" ref="C119" si="33">+SUM(C120:C122)</f>
        <v>0</v>
      </c>
      <c r="D119" s="3">
        <f t="shared" ref="D119" si="34">+SUM(D120:D122)</f>
        <v>0</v>
      </c>
      <c r="E119" s="3">
        <f t="shared" ref="E119" si="35">+SUM(E120:E122)</f>
        <v>0</v>
      </c>
      <c r="F119" s="3">
        <f t="shared" ref="F119" si="36">+SUM(F120:F122)</f>
        <v>0</v>
      </c>
      <c r="G119" s="3">
        <f t="shared" ref="G119" si="37">+SUM(G120:G122)</f>
        <v>0</v>
      </c>
      <c r="H119" s="3">
        <f t="shared" ref="H119" si="38">+SUM(H120:H122)</f>
        <v>5343</v>
      </c>
      <c r="I119" s="3">
        <f>+SUM(I120:I122)</f>
        <v>5955</v>
      </c>
    </row>
    <row r="120" spans="1:9" x14ac:dyDescent="0.3">
      <c r="A120" s="11" t="s">
        <v>113</v>
      </c>
      <c r="H120" s="8">
        <v>3659</v>
      </c>
      <c r="I120" s="8">
        <v>4111</v>
      </c>
    </row>
    <row r="121" spans="1:9" x14ac:dyDescent="0.3">
      <c r="A121" s="11" t="s">
        <v>114</v>
      </c>
      <c r="H121" s="8">
        <v>1494</v>
      </c>
      <c r="I121" s="8">
        <v>1610</v>
      </c>
    </row>
    <row r="122" spans="1:9" x14ac:dyDescent="0.3">
      <c r="A122" s="11" t="s">
        <v>115</v>
      </c>
      <c r="H122">
        <v>190</v>
      </c>
      <c r="I122">
        <v>234</v>
      </c>
    </row>
    <row r="123" spans="1:9" x14ac:dyDescent="0.3">
      <c r="A123" s="2" t="s">
        <v>107</v>
      </c>
      <c r="B123" s="3"/>
      <c r="C123" s="3"/>
      <c r="D123" s="3"/>
      <c r="E123" s="3"/>
      <c r="F123" s="3"/>
      <c r="G123" s="3"/>
      <c r="H123" s="3">
        <v>25</v>
      </c>
      <c r="I123" s="3">
        <v>102</v>
      </c>
    </row>
    <row r="124" spans="1:9" x14ac:dyDescent="0.3">
      <c r="A124" s="4" t="s">
        <v>103</v>
      </c>
      <c r="B124" s="5">
        <f t="shared" ref="B124:I124" si="39">+B107+B111+B115+B119+B123</f>
        <v>0</v>
      </c>
      <c r="C124" s="5">
        <f t="shared" si="39"/>
        <v>0</v>
      </c>
      <c r="D124" s="5">
        <f t="shared" si="39"/>
        <v>0</v>
      </c>
      <c r="E124" s="5">
        <f t="shared" si="39"/>
        <v>0</v>
      </c>
      <c r="F124" s="5">
        <f t="shared" si="39"/>
        <v>0</v>
      </c>
      <c r="G124" s="5">
        <f t="shared" si="39"/>
        <v>0</v>
      </c>
      <c r="H124" s="5">
        <f t="shared" si="39"/>
        <v>42293</v>
      </c>
      <c r="I124" s="5">
        <f t="shared" si="39"/>
        <v>44436</v>
      </c>
    </row>
    <row r="125" spans="1:9" x14ac:dyDescent="0.3">
      <c r="A125" s="2" t="s">
        <v>104</v>
      </c>
      <c r="B125" s="3"/>
      <c r="C125" s="3"/>
      <c r="D125" s="3"/>
      <c r="E125" s="3"/>
      <c r="F125" s="3"/>
      <c r="G125" s="3"/>
      <c r="H125" s="3">
        <f>+SUM(H126:H129)</f>
        <v>2205</v>
      </c>
      <c r="I125" s="3">
        <f>+SUM(I126:I129)</f>
        <v>2346</v>
      </c>
    </row>
    <row r="126" spans="1:9" x14ac:dyDescent="0.3">
      <c r="A126" s="11" t="s">
        <v>113</v>
      </c>
      <c r="B126" s="3"/>
      <c r="C126" s="3"/>
      <c r="D126" s="3"/>
      <c r="E126" s="3"/>
      <c r="F126" s="3"/>
      <c r="G126" s="3"/>
      <c r="H126" s="3">
        <v>1986</v>
      </c>
      <c r="I126" s="3">
        <v>2094</v>
      </c>
    </row>
    <row r="127" spans="1:9" x14ac:dyDescent="0.3">
      <c r="A127" s="11" t="s">
        <v>114</v>
      </c>
      <c r="B127" s="3"/>
      <c r="C127" s="3"/>
      <c r="D127" s="3"/>
      <c r="E127" s="3"/>
      <c r="F127" s="3"/>
      <c r="G127" s="3"/>
      <c r="H127" s="3">
        <v>104</v>
      </c>
      <c r="I127" s="3">
        <v>103</v>
      </c>
    </row>
    <row r="128" spans="1:9" x14ac:dyDescent="0.3">
      <c r="A128" s="11" t="s">
        <v>115</v>
      </c>
      <c r="B128" s="3"/>
      <c r="C128" s="3"/>
      <c r="D128" s="3"/>
      <c r="E128" s="3"/>
      <c r="F128" s="3"/>
      <c r="G128" s="3"/>
      <c r="H128" s="3">
        <v>29</v>
      </c>
      <c r="I128" s="3">
        <v>26</v>
      </c>
    </row>
    <row r="129" spans="1:9" x14ac:dyDescent="0.3">
      <c r="A129" s="11" t="s">
        <v>121</v>
      </c>
      <c r="B129" s="3"/>
      <c r="C129" s="3"/>
      <c r="D129" s="3"/>
      <c r="E129" s="3"/>
      <c r="F129" s="3"/>
      <c r="G129" s="3"/>
      <c r="H129" s="3">
        <v>86</v>
      </c>
      <c r="I129" s="3">
        <v>123</v>
      </c>
    </row>
    <row r="130" spans="1:9" x14ac:dyDescent="0.3">
      <c r="A130" s="2" t="s">
        <v>108</v>
      </c>
      <c r="B130" s="3"/>
      <c r="C130" s="3"/>
      <c r="D130" s="3"/>
      <c r="E130" s="3"/>
      <c r="F130" s="3"/>
      <c r="G130" s="3"/>
      <c r="H130" s="3">
        <v>40</v>
      </c>
      <c r="I130" s="3">
        <v>-72</v>
      </c>
    </row>
    <row r="131" spans="1:9" ht="15" thickBot="1" x14ac:dyDescent="0.35">
      <c r="A131" s="6" t="s">
        <v>105</v>
      </c>
      <c r="B131" s="7">
        <f t="shared" ref="B131:H131" si="40">+B124+B125+B130</f>
        <v>0</v>
      </c>
      <c r="C131" s="7">
        <f t="shared" si="40"/>
        <v>0</v>
      </c>
      <c r="D131" s="7">
        <f t="shared" si="40"/>
        <v>0</v>
      </c>
      <c r="E131" s="7">
        <f t="shared" si="40"/>
        <v>0</v>
      </c>
      <c r="F131" s="7">
        <f t="shared" si="40"/>
        <v>0</v>
      </c>
      <c r="G131" s="7">
        <f t="shared" si="40"/>
        <v>0</v>
      </c>
      <c r="H131" s="7">
        <f t="shared" si="40"/>
        <v>44538</v>
      </c>
      <c r="I131" s="7">
        <f>+I124+I125+I130</f>
        <v>46710</v>
      </c>
    </row>
    <row r="132" spans="1:9" s="12" customFormat="1" ht="15" thickTop="1" x14ac:dyDescent="0.3">
      <c r="A132" s="12" t="s">
        <v>111</v>
      </c>
      <c r="B132" s="13">
        <f>+I131-I2</f>
        <v>0</v>
      </c>
      <c r="C132" s="13">
        <f t="shared" ref="C132:G132" si="41">+C131-C2</f>
        <v>0</v>
      </c>
      <c r="D132" s="13">
        <f t="shared" si="41"/>
        <v>0</v>
      </c>
      <c r="E132" s="13">
        <f t="shared" si="41"/>
        <v>0</v>
      </c>
      <c r="F132" s="13">
        <f t="shared" si="41"/>
        <v>0</v>
      </c>
      <c r="G132" s="13">
        <f t="shared" si="41"/>
        <v>0</v>
      </c>
      <c r="H132" s="13">
        <f>+H131-H2</f>
        <v>0</v>
      </c>
    </row>
    <row r="133" spans="1:9" x14ac:dyDescent="0.3">
      <c r="A133" s="1" t="s">
        <v>110</v>
      </c>
    </row>
    <row r="134" spans="1:9" x14ac:dyDescent="0.3">
      <c r="A134" s="2" t="s">
        <v>100</v>
      </c>
      <c r="B134" s="3"/>
      <c r="C134" s="3"/>
      <c r="D134" s="3"/>
      <c r="E134" s="3"/>
      <c r="F134" s="3"/>
      <c r="G134" s="3"/>
      <c r="H134" s="3">
        <v>5089</v>
      </c>
      <c r="I134" s="3">
        <v>5114</v>
      </c>
    </row>
    <row r="135" spans="1:9" x14ac:dyDescent="0.3">
      <c r="A135" s="2" t="s">
        <v>101</v>
      </c>
      <c r="B135" s="3"/>
      <c r="C135" s="3"/>
      <c r="D135" s="3"/>
      <c r="E135" s="3"/>
      <c r="F135" s="3"/>
      <c r="G135" s="3"/>
      <c r="H135" s="3">
        <v>2435</v>
      </c>
      <c r="I135" s="3">
        <v>3293</v>
      </c>
    </row>
    <row r="136" spans="1:9" x14ac:dyDescent="0.3">
      <c r="A136" s="2" t="s">
        <v>102</v>
      </c>
      <c r="B136" s="3"/>
      <c r="C136" s="3"/>
      <c r="D136" s="3"/>
      <c r="E136" s="3"/>
      <c r="F136" s="3"/>
      <c r="G136" s="3"/>
      <c r="H136" s="3">
        <v>3243</v>
      </c>
      <c r="I136" s="3">
        <v>2365</v>
      </c>
    </row>
    <row r="137" spans="1:9" x14ac:dyDescent="0.3">
      <c r="A137" s="2" t="s">
        <v>106</v>
      </c>
      <c r="B137" s="3"/>
      <c r="C137" s="3"/>
      <c r="D137" s="3"/>
      <c r="E137" s="3"/>
      <c r="F137" s="3"/>
      <c r="G137" s="3"/>
      <c r="H137" s="3">
        <v>1530</v>
      </c>
      <c r="I137" s="3">
        <v>1896</v>
      </c>
    </row>
    <row r="138" spans="1:9" x14ac:dyDescent="0.3">
      <c r="A138" s="2" t="s">
        <v>107</v>
      </c>
      <c r="B138" s="3"/>
      <c r="C138" s="3"/>
      <c r="D138" s="3"/>
      <c r="E138" s="3"/>
      <c r="F138" s="3"/>
      <c r="G138" s="3"/>
      <c r="H138" s="3">
        <v>-3656</v>
      </c>
      <c r="I138" s="3">
        <v>-4262</v>
      </c>
    </row>
    <row r="139" spans="1:9" x14ac:dyDescent="0.3">
      <c r="A139" s="4" t="s">
        <v>103</v>
      </c>
      <c r="B139" s="5">
        <f t="shared" ref="B139:I139" si="42">+SUM(B134:B138)</f>
        <v>0</v>
      </c>
      <c r="C139" s="5">
        <f t="shared" si="42"/>
        <v>0</v>
      </c>
      <c r="D139" s="5">
        <f t="shared" si="42"/>
        <v>0</v>
      </c>
      <c r="E139" s="5">
        <f t="shared" si="42"/>
        <v>0</v>
      </c>
      <c r="F139" s="5">
        <f t="shared" si="42"/>
        <v>0</v>
      </c>
      <c r="G139" s="5">
        <f t="shared" si="42"/>
        <v>0</v>
      </c>
      <c r="H139" s="5">
        <f t="shared" si="42"/>
        <v>8641</v>
      </c>
      <c r="I139" s="5">
        <f t="shared" si="42"/>
        <v>8406</v>
      </c>
    </row>
    <row r="140" spans="1:9" x14ac:dyDescent="0.3">
      <c r="A140" s="2" t="s">
        <v>104</v>
      </c>
      <c r="B140" s="3"/>
      <c r="C140" s="3"/>
      <c r="D140" s="3"/>
      <c r="E140" s="3"/>
      <c r="F140" s="3"/>
      <c r="G140" s="3"/>
      <c r="H140" s="3">
        <v>543</v>
      </c>
      <c r="I140" s="3">
        <v>669</v>
      </c>
    </row>
    <row r="141" spans="1:9" x14ac:dyDescent="0.3">
      <c r="A141" s="2" t="s">
        <v>108</v>
      </c>
      <c r="B141" s="3"/>
      <c r="C141" s="3"/>
      <c r="D141" s="3"/>
      <c r="E141" s="3"/>
      <c r="F141" s="3"/>
      <c r="G141" s="3"/>
      <c r="H141" s="3">
        <v>-2261</v>
      </c>
      <c r="I141" s="3">
        <v>-2219</v>
      </c>
    </row>
    <row r="142" spans="1:9" ht="15" thickBot="1" x14ac:dyDescent="0.35">
      <c r="A142" s="6" t="s">
        <v>112</v>
      </c>
      <c r="B142" s="7">
        <f t="shared" ref="B142" si="43">+SUM(B139:B141)</f>
        <v>0</v>
      </c>
      <c r="C142" s="7">
        <f t="shared" ref="C142" si="44">+SUM(C139:C141)</f>
        <v>0</v>
      </c>
      <c r="D142" s="7">
        <f t="shared" ref="D142" si="45">+SUM(D139:D141)</f>
        <v>0</v>
      </c>
      <c r="E142" s="7">
        <f t="shared" ref="E142" si="46">+SUM(E139:E141)</f>
        <v>0</v>
      </c>
      <c r="F142" s="7">
        <f t="shared" ref="F142" si="47">+SUM(F139:F141)</f>
        <v>0</v>
      </c>
      <c r="G142" s="7">
        <f t="shared" ref="G142" si="48">+SUM(G139:G141)</f>
        <v>0</v>
      </c>
      <c r="H142" s="7">
        <f t="shared" ref="H142" si="49">+SUM(H139:H141)</f>
        <v>6923</v>
      </c>
      <c r="I142" s="7">
        <f>+SUM(I139:I141)</f>
        <v>6856</v>
      </c>
    </row>
    <row r="143" spans="1:9" s="12" customFormat="1" ht="15" thickTop="1" x14ac:dyDescent="0.3">
      <c r="A143" s="12" t="s">
        <v>111</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9" x14ac:dyDescent="0.3">
      <c r="A144" s="1" t="s">
        <v>117</v>
      </c>
    </row>
    <row r="145" spans="1:9" x14ac:dyDescent="0.3">
      <c r="A145" s="2" t="s">
        <v>100</v>
      </c>
      <c r="B145" s="3"/>
      <c r="C145" s="3"/>
      <c r="D145" s="3"/>
      <c r="E145" s="3"/>
      <c r="F145" s="3"/>
      <c r="G145" s="3"/>
      <c r="H145" s="3">
        <v>617</v>
      </c>
      <c r="I145" s="3">
        <v>639</v>
      </c>
    </row>
    <row r="146" spans="1:9" x14ac:dyDescent="0.3">
      <c r="A146" s="2" t="s">
        <v>101</v>
      </c>
      <c r="B146" s="3"/>
      <c r="C146" s="3"/>
      <c r="D146" s="3"/>
      <c r="E146" s="3"/>
      <c r="F146" s="3"/>
      <c r="G146" s="3"/>
      <c r="H146" s="3">
        <v>982</v>
      </c>
      <c r="I146" s="3">
        <v>920</v>
      </c>
    </row>
    <row r="147" spans="1:9" x14ac:dyDescent="0.3">
      <c r="A147" s="2" t="s">
        <v>102</v>
      </c>
      <c r="B147" s="3"/>
      <c r="C147" s="3"/>
      <c r="D147" s="3"/>
      <c r="E147" s="3"/>
      <c r="F147" s="3"/>
      <c r="G147" s="3"/>
      <c r="H147" s="3">
        <v>288</v>
      </c>
      <c r="I147" s="3">
        <v>303</v>
      </c>
    </row>
    <row r="148" spans="1:9" x14ac:dyDescent="0.3">
      <c r="A148" s="2" t="s">
        <v>118</v>
      </c>
      <c r="B148" s="3"/>
      <c r="C148" s="3"/>
      <c r="D148" s="3"/>
      <c r="E148" s="3"/>
      <c r="F148" s="3"/>
      <c r="G148" s="3"/>
      <c r="H148" s="3">
        <v>304</v>
      </c>
      <c r="I148" s="3">
        <v>274</v>
      </c>
    </row>
    <row r="149" spans="1:9" x14ac:dyDescent="0.3">
      <c r="A149" s="2" t="s">
        <v>107</v>
      </c>
      <c r="B149" s="3"/>
      <c r="C149" s="3"/>
      <c r="D149" s="3"/>
      <c r="E149" s="3"/>
      <c r="F149" s="3"/>
      <c r="G149" s="3"/>
      <c r="H149" s="3">
        <v>780</v>
      </c>
      <c r="I149" s="3">
        <v>789</v>
      </c>
    </row>
    <row r="150" spans="1:9" x14ac:dyDescent="0.3">
      <c r="A150" s="4" t="s">
        <v>119</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3">
      <c r="A151" s="2" t="s">
        <v>104</v>
      </c>
      <c r="B151" s="3"/>
      <c r="C151" s="3"/>
      <c r="D151" s="3"/>
      <c r="E151" s="3"/>
      <c r="F151" s="3"/>
      <c r="G151" s="3"/>
      <c r="H151" s="3">
        <v>63</v>
      </c>
      <c r="I151" s="3">
        <v>49</v>
      </c>
    </row>
    <row r="152" spans="1:9" x14ac:dyDescent="0.3">
      <c r="A152" s="2" t="s">
        <v>108</v>
      </c>
      <c r="B152" s="3"/>
      <c r="C152" s="3"/>
      <c r="D152" s="3"/>
      <c r="E152" s="3"/>
      <c r="F152" s="3"/>
      <c r="G152" s="3"/>
      <c r="H152" s="3">
        <v>1870</v>
      </c>
      <c r="I152" s="3">
        <v>1817</v>
      </c>
    </row>
    <row r="153" spans="1:9" ht="15" thickBot="1" x14ac:dyDescent="0.35">
      <c r="A153" s="6" t="s">
        <v>120</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 thickTop="1" x14ac:dyDescent="0.3">
      <c r="A154" s="12" t="s">
        <v>111</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3">
      <c r="A155" s="1" t="s">
        <v>122</v>
      </c>
    </row>
    <row r="156" spans="1:9" x14ac:dyDescent="0.3">
      <c r="A156" s="2" t="s">
        <v>100</v>
      </c>
      <c r="B156" s="3"/>
      <c r="C156" s="3"/>
      <c r="D156" s="3"/>
      <c r="E156" s="3"/>
      <c r="F156" s="3"/>
      <c r="G156" s="3"/>
      <c r="H156" s="3">
        <v>98</v>
      </c>
      <c r="I156" s="3">
        <v>146</v>
      </c>
    </row>
    <row r="157" spans="1:9" x14ac:dyDescent="0.3">
      <c r="A157" s="2" t="s">
        <v>101</v>
      </c>
      <c r="B157" s="3"/>
      <c r="C157" s="3"/>
      <c r="D157" s="3"/>
      <c r="E157" s="3"/>
      <c r="F157" s="3"/>
      <c r="G157" s="3"/>
      <c r="H157" s="3">
        <v>153</v>
      </c>
      <c r="I157" s="3">
        <v>197</v>
      </c>
    </row>
    <row r="158" spans="1:9" x14ac:dyDescent="0.3">
      <c r="A158" s="2" t="s">
        <v>102</v>
      </c>
      <c r="B158" s="3"/>
      <c r="C158" s="3"/>
      <c r="D158" s="3"/>
      <c r="E158" s="3"/>
      <c r="F158" s="3"/>
      <c r="G158" s="3"/>
      <c r="H158" s="3">
        <v>94</v>
      </c>
      <c r="I158" s="3">
        <v>78</v>
      </c>
    </row>
    <row r="159" spans="1:9" x14ac:dyDescent="0.3">
      <c r="A159" s="2" t="s">
        <v>118</v>
      </c>
      <c r="B159" s="3"/>
      <c r="C159" s="3"/>
      <c r="D159" s="3"/>
      <c r="E159" s="3"/>
      <c r="F159" s="3"/>
      <c r="G159" s="3"/>
      <c r="H159" s="3">
        <v>54</v>
      </c>
      <c r="I159" s="3">
        <v>56</v>
      </c>
    </row>
    <row r="160" spans="1:9" x14ac:dyDescent="0.3">
      <c r="A160" s="2" t="s">
        <v>107</v>
      </c>
      <c r="B160" s="3"/>
      <c r="C160" s="3"/>
      <c r="D160" s="3"/>
      <c r="E160" s="3"/>
      <c r="F160" s="3"/>
      <c r="G160" s="3"/>
      <c r="H160" s="3">
        <v>278</v>
      </c>
      <c r="I160" s="3">
        <v>222</v>
      </c>
    </row>
    <row r="161" spans="1:9" x14ac:dyDescent="0.3">
      <c r="A161" s="4" t="s">
        <v>119</v>
      </c>
      <c r="B161" s="5">
        <f t="shared" ref="B161:I161" si="54">+SUM(B156:B160)</f>
        <v>0</v>
      </c>
      <c r="C161" s="5">
        <f t="shared" si="54"/>
        <v>0</v>
      </c>
      <c r="D161" s="5">
        <f t="shared" si="54"/>
        <v>0</v>
      </c>
      <c r="E161" s="5">
        <f t="shared" si="54"/>
        <v>0</v>
      </c>
      <c r="F161" s="5">
        <f t="shared" si="54"/>
        <v>0</v>
      </c>
      <c r="G161" s="5">
        <f t="shared" si="54"/>
        <v>0</v>
      </c>
      <c r="H161" s="5">
        <f t="shared" si="54"/>
        <v>677</v>
      </c>
      <c r="I161" s="5">
        <f t="shared" si="54"/>
        <v>699</v>
      </c>
    </row>
    <row r="162" spans="1:9" x14ac:dyDescent="0.3">
      <c r="A162" s="2" t="s">
        <v>104</v>
      </c>
      <c r="B162" s="3"/>
      <c r="C162" s="3"/>
      <c r="D162" s="3"/>
      <c r="E162" s="3"/>
      <c r="F162" s="3"/>
      <c r="G162" s="3"/>
      <c r="H162" s="3">
        <v>7</v>
      </c>
      <c r="I162" s="3">
        <v>9</v>
      </c>
    </row>
    <row r="163" spans="1:9" x14ac:dyDescent="0.3">
      <c r="A163" s="2" t="s">
        <v>108</v>
      </c>
      <c r="B163" s="3">
        <f t="shared" ref="B163:H163" si="55">-(SUM(B161:B162)+B81)</f>
        <v>0</v>
      </c>
      <c r="C163" s="3">
        <f t="shared" si="55"/>
        <v>0</v>
      </c>
      <c r="D163" s="3">
        <f t="shared" si="55"/>
        <v>0</v>
      </c>
      <c r="E163" s="3">
        <f t="shared" si="55"/>
        <v>0</v>
      </c>
      <c r="F163" s="3">
        <f t="shared" si="55"/>
        <v>0</v>
      </c>
      <c r="G163" s="3">
        <f t="shared" si="55"/>
        <v>0</v>
      </c>
      <c r="H163" s="3">
        <f t="shared" si="55"/>
        <v>11</v>
      </c>
      <c r="I163" s="3">
        <f>-(SUM(I161:I162)+I81)</f>
        <v>50</v>
      </c>
    </row>
    <row r="164" spans="1:9" ht="15" thickBot="1" x14ac:dyDescent="0.35">
      <c r="A164" s="6" t="s">
        <v>123</v>
      </c>
      <c r="B164" s="7">
        <f t="shared" ref="B164:H164" si="56">+SUM(B161:B163)</f>
        <v>0</v>
      </c>
      <c r="C164" s="7">
        <f t="shared" si="56"/>
        <v>0</v>
      </c>
      <c r="D164" s="7">
        <f t="shared" si="56"/>
        <v>0</v>
      </c>
      <c r="E164" s="7">
        <f t="shared" si="56"/>
        <v>0</v>
      </c>
      <c r="F164" s="7">
        <f t="shared" si="56"/>
        <v>0</v>
      </c>
      <c r="G164" s="7">
        <f t="shared" si="56"/>
        <v>0</v>
      </c>
      <c r="H164" s="7">
        <f t="shared" si="56"/>
        <v>695</v>
      </c>
      <c r="I164" s="7">
        <f>+SUM(I161:I163)</f>
        <v>758</v>
      </c>
    </row>
    <row r="165" spans="1:9" ht="15" thickTop="1" x14ac:dyDescent="0.3">
      <c r="A165" s="12" t="s">
        <v>111</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3">
      <c r="A166" s="1" t="s">
        <v>124</v>
      </c>
    </row>
    <row r="167" spans="1:9" x14ac:dyDescent="0.3">
      <c r="A167" s="2" t="s">
        <v>100</v>
      </c>
      <c r="B167" s="3"/>
      <c r="C167" s="3"/>
      <c r="D167" s="3"/>
      <c r="E167" s="3"/>
      <c r="F167" s="3"/>
      <c r="G167" s="3"/>
      <c r="H167" s="3">
        <v>130</v>
      </c>
      <c r="I167" s="3">
        <v>124</v>
      </c>
    </row>
    <row r="168" spans="1:9" x14ac:dyDescent="0.3">
      <c r="A168" s="2" t="s">
        <v>101</v>
      </c>
      <c r="B168" s="3"/>
      <c r="C168" s="3"/>
      <c r="D168" s="3"/>
      <c r="E168" s="3"/>
      <c r="F168" s="3"/>
      <c r="G168" s="3"/>
      <c r="H168" s="3">
        <v>136</v>
      </c>
      <c r="I168" s="3">
        <v>134</v>
      </c>
    </row>
    <row r="169" spans="1:9" x14ac:dyDescent="0.3">
      <c r="A169" s="2" t="s">
        <v>102</v>
      </c>
      <c r="B169" s="3"/>
      <c r="C169" s="3"/>
      <c r="D169" s="3"/>
      <c r="E169" s="3"/>
      <c r="F169" s="3"/>
      <c r="G169" s="3"/>
      <c r="H169" s="3">
        <v>46</v>
      </c>
      <c r="I169" s="3">
        <v>41</v>
      </c>
    </row>
    <row r="170" spans="1:9" x14ac:dyDescent="0.3">
      <c r="A170" s="2" t="s">
        <v>106</v>
      </c>
      <c r="B170" s="3"/>
      <c r="C170" s="3"/>
      <c r="D170" s="3"/>
      <c r="E170" s="3"/>
      <c r="F170" s="3"/>
      <c r="G170" s="3"/>
      <c r="H170" s="3">
        <v>43</v>
      </c>
      <c r="I170" s="3">
        <v>42</v>
      </c>
    </row>
    <row r="171" spans="1:9" x14ac:dyDescent="0.3">
      <c r="A171" s="2" t="s">
        <v>107</v>
      </c>
      <c r="B171" s="3"/>
      <c r="C171" s="3"/>
      <c r="D171" s="3"/>
      <c r="E171" s="3"/>
      <c r="F171" s="3"/>
      <c r="G171" s="3"/>
      <c r="H171" s="3">
        <v>222</v>
      </c>
      <c r="I171" s="3">
        <v>220</v>
      </c>
    </row>
    <row r="172" spans="1:9" x14ac:dyDescent="0.3">
      <c r="A172" s="4" t="s">
        <v>119</v>
      </c>
      <c r="B172" s="5">
        <f t="shared" ref="B172:I172" si="58">+SUM(B167:B171)</f>
        <v>0</v>
      </c>
      <c r="C172" s="5">
        <f t="shared" si="58"/>
        <v>0</v>
      </c>
      <c r="D172" s="5">
        <f t="shared" si="58"/>
        <v>0</v>
      </c>
      <c r="E172" s="5">
        <f t="shared" si="58"/>
        <v>0</v>
      </c>
      <c r="F172" s="5">
        <f t="shared" si="58"/>
        <v>0</v>
      </c>
      <c r="G172" s="5">
        <f t="shared" si="58"/>
        <v>0</v>
      </c>
      <c r="H172" s="5">
        <f t="shared" si="58"/>
        <v>577</v>
      </c>
      <c r="I172" s="5">
        <f t="shared" si="58"/>
        <v>561</v>
      </c>
    </row>
    <row r="173" spans="1:9" x14ac:dyDescent="0.3">
      <c r="A173" s="2" t="s">
        <v>104</v>
      </c>
      <c r="B173" s="3"/>
      <c r="C173" s="3"/>
      <c r="D173" s="3"/>
      <c r="E173" s="3"/>
      <c r="F173" s="3"/>
      <c r="G173" s="3"/>
      <c r="H173" s="3">
        <v>26</v>
      </c>
      <c r="I173" s="3">
        <v>22</v>
      </c>
    </row>
    <row r="174" spans="1:9" x14ac:dyDescent="0.3">
      <c r="A174" s="2" t="s">
        <v>108</v>
      </c>
      <c r="B174" s="3"/>
      <c r="C174" s="3"/>
      <c r="D174" s="3"/>
      <c r="E174" s="3"/>
      <c r="F174" s="3"/>
      <c r="G174" s="3"/>
      <c r="H174" s="3">
        <v>141</v>
      </c>
      <c r="I174" s="3">
        <v>134</v>
      </c>
    </row>
    <row r="175" spans="1:9" ht="15" thickBot="1" x14ac:dyDescent="0.35">
      <c r="A175" s="6" t="s">
        <v>125</v>
      </c>
      <c r="B175" s="7">
        <f t="shared" ref="B175:H175" si="59">+SUM(B172:B174)</f>
        <v>0</v>
      </c>
      <c r="C175" s="7">
        <f t="shared" si="59"/>
        <v>0</v>
      </c>
      <c r="D175" s="7">
        <f t="shared" si="59"/>
        <v>0</v>
      </c>
      <c r="E175" s="7">
        <f t="shared" si="59"/>
        <v>0</v>
      </c>
      <c r="F175" s="7">
        <f t="shared" si="59"/>
        <v>0</v>
      </c>
      <c r="G175" s="7">
        <f t="shared" si="59"/>
        <v>0</v>
      </c>
      <c r="H175" s="7">
        <f t="shared" si="59"/>
        <v>744</v>
      </c>
      <c r="I175" s="7">
        <f>+SUM(I172:I174)</f>
        <v>717</v>
      </c>
    </row>
    <row r="176" spans="1:9" ht="15" thickTop="1" x14ac:dyDescent="0.3">
      <c r="A176" s="12" t="s">
        <v>111</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3">
      <c r="A177" s="14" t="s">
        <v>126</v>
      </c>
      <c r="B177" s="14"/>
      <c r="C177" s="14"/>
      <c r="D177" s="14"/>
      <c r="E177" s="14"/>
      <c r="F177" s="14"/>
      <c r="G177" s="14"/>
      <c r="H177" s="14"/>
      <c r="I177" s="14"/>
    </row>
    <row r="178" spans="1:9" x14ac:dyDescent="0.3">
      <c r="A178" s="27" t="s">
        <v>127</v>
      </c>
    </row>
    <row r="179" spans="1:9" x14ac:dyDescent="0.3">
      <c r="A179" s="32" t="s">
        <v>100</v>
      </c>
      <c r="B179" s="33"/>
      <c r="C179" s="33"/>
      <c r="D179" s="33"/>
      <c r="E179" s="33"/>
      <c r="F179" s="33"/>
      <c r="G179" s="33"/>
      <c r="H179" s="33"/>
      <c r="I179" s="33">
        <v>7.0000000000000007E-2</v>
      </c>
    </row>
    <row r="180" spans="1:9" x14ac:dyDescent="0.3">
      <c r="A180" s="30" t="s">
        <v>113</v>
      </c>
      <c r="B180" s="29"/>
      <c r="C180" s="29"/>
      <c r="D180" s="29"/>
      <c r="E180" s="29"/>
      <c r="F180" s="29"/>
      <c r="G180" s="29"/>
      <c r="H180" s="29"/>
      <c r="I180" s="29">
        <v>0.05</v>
      </c>
    </row>
    <row r="181" spans="1:9" x14ac:dyDescent="0.3">
      <c r="A181" s="30" t="s">
        <v>114</v>
      </c>
      <c r="B181" s="29"/>
      <c r="C181" s="29"/>
      <c r="D181" s="29"/>
      <c r="E181" s="29"/>
      <c r="F181" s="29"/>
      <c r="G181" s="29"/>
      <c r="H181" s="29"/>
      <c r="I181" s="29">
        <v>0.09</v>
      </c>
    </row>
    <row r="182" spans="1:9" x14ac:dyDescent="0.3">
      <c r="A182" s="30" t="s">
        <v>115</v>
      </c>
      <c r="B182" s="29"/>
      <c r="C182" s="29"/>
      <c r="D182" s="29"/>
      <c r="E182" s="29"/>
      <c r="F182" s="29"/>
      <c r="G182" s="29"/>
      <c r="H182" s="29"/>
      <c r="I182" s="29">
        <v>0.25</v>
      </c>
    </row>
    <row r="183" spans="1:9" x14ac:dyDescent="0.3">
      <c r="A183" s="32" t="s">
        <v>101</v>
      </c>
      <c r="B183" s="33"/>
      <c r="C183" s="33"/>
      <c r="D183" s="33"/>
      <c r="E183" s="33"/>
      <c r="F183" s="33"/>
      <c r="G183" s="33"/>
      <c r="H183" s="33"/>
      <c r="I183" s="33">
        <v>0.12</v>
      </c>
    </row>
    <row r="184" spans="1:9" x14ac:dyDescent="0.3">
      <c r="A184" s="30" t="s">
        <v>113</v>
      </c>
      <c r="B184" s="29"/>
      <c r="C184" s="29"/>
      <c r="D184" s="29"/>
      <c r="E184" s="29"/>
      <c r="F184" s="29"/>
      <c r="G184" s="29"/>
      <c r="H184" s="29"/>
      <c r="I184" s="29">
        <v>0.09</v>
      </c>
    </row>
    <row r="185" spans="1:9" x14ac:dyDescent="0.3">
      <c r="A185" s="30" t="s">
        <v>114</v>
      </c>
      <c r="B185" s="29"/>
      <c r="C185" s="29"/>
      <c r="D185" s="29"/>
      <c r="E185" s="29"/>
      <c r="F185" s="29"/>
      <c r="G185" s="29"/>
      <c r="H185" s="29"/>
      <c r="I185" s="29">
        <v>0.16</v>
      </c>
    </row>
    <row r="186" spans="1:9" x14ac:dyDescent="0.3">
      <c r="A186" s="30" t="s">
        <v>115</v>
      </c>
      <c r="B186" s="29"/>
      <c r="C186" s="29"/>
      <c r="D186" s="29"/>
      <c r="E186" s="29"/>
      <c r="F186" s="29"/>
      <c r="G186" s="29"/>
      <c r="H186" s="29"/>
      <c r="I186" s="29">
        <v>0.17</v>
      </c>
    </row>
    <row r="187" spans="1:9" x14ac:dyDescent="0.3">
      <c r="A187" s="32" t="s">
        <v>102</v>
      </c>
      <c r="B187" s="33"/>
      <c r="C187" s="33"/>
      <c r="D187" s="33"/>
      <c r="E187" s="33"/>
      <c r="F187" s="33"/>
      <c r="G187" s="33"/>
      <c r="H187" s="33"/>
      <c r="I187" s="33">
        <v>-0.13</v>
      </c>
    </row>
    <row r="188" spans="1:9" x14ac:dyDescent="0.3">
      <c r="A188" s="30" t="s">
        <v>113</v>
      </c>
      <c r="B188" s="29"/>
      <c r="C188" s="29"/>
      <c r="D188" s="29"/>
      <c r="E188" s="29"/>
      <c r="F188" s="29"/>
      <c r="G188" s="29"/>
      <c r="H188" s="29"/>
      <c r="I188" s="29">
        <v>-0.1</v>
      </c>
    </row>
    <row r="189" spans="1:9" x14ac:dyDescent="0.3">
      <c r="A189" s="30" t="s">
        <v>114</v>
      </c>
      <c r="B189" s="29"/>
      <c r="C189" s="29"/>
      <c r="D189" s="29"/>
      <c r="E189" s="29"/>
      <c r="F189" s="29"/>
      <c r="G189" s="29"/>
      <c r="H189" s="29"/>
      <c r="I189" s="29">
        <v>-0.21</v>
      </c>
    </row>
    <row r="190" spans="1:9" x14ac:dyDescent="0.3">
      <c r="A190" s="30" t="s">
        <v>115</v>
      </c>
      <c r="B190" s="29"/>
      <c r="C190" s="29"/>
      <c r="D190" s="29"/>
      <c r="E190" s="29"/>
      <c r="F190" s="29"/>
      <c r="G190" s="29"/>
      <c r="H190" s="29"/>
      <c r="I190" s="29">
        <v>-0.06</v>
      </c>
    </row>
    <row r="191" spans="1:9" x14ac:dyDescent="0.3">
      <c r="A191" s="32" t="s">
        <v>106</v>
      </c>
      <c r="B191" s="33"/>
      <c r="C191" s="33"/>
      <c r="D191" s="33"/>
      <c r="E191" s="33"/>
      <c r="F191" s="33"/>
      <c r="G191" s="33"/>
      <c r="H191" s="33"/>
      <c r="I191" s="33">
        <v>0.16</v>
      </c>
    </row>
    <row r="192" spans="1:9" x14ac:dyDescent="0.3">
      <c r="A192" s="30" t="s">
        <v>113</v>
      </c>
      <c r="B192" s="29"/>
      <c r="C192" s="29"/>
      <c r="D192" s="29"/>
      <c r="E192" s="29"/>
      <c r="F192" s="29"/>
      <c r="G192" s="29"/>
      <c r="H192" s="29"/>
      <c r="I192" s="29">
        <v>0.17</v>
      </c>
    </row>
    <row r="193" spans="1:9" x14ac:dyDescent="0.3">
      <c r="A193" s="30" t="s">
        <v>114</v>
      </c>
      <c r="B193" s="29"/>
      <c r="C193" s="29"/>
      <c r="D193" s="29"/>
      <c r="E193" s="29"/>
      <c r="F193" s="29"/>
      <c r="G193" s="29"/>
      <c r="H193" s="29"/>
      <c r="I193" s="29">
        <v>0.12</v>
      </c>
    </row>
    <row r="194" spans="1:9" x14ac:dyDescent="0.3">
      <c r="A194" s="30" t="s">
        <v>115</v>
      </c>
      <c r="B194" s="29"/>
      <c r="C194" s="29"/>
      <c r="D194" s="29"/>
      <c r="E194" s="29"/>
      <c r="F194" s="29"/>
      <c r="G194" s="29"/>
      <c r="H194" s="29"/>
      <c r="I194" s="29">
        <v>0.28000000000000003</v>
      </c>
    </row>
    <row r="195" spans="1:9" x14ac:dyDescent="0.3">
      <c r="A195" s="32" t="s">
        <v>107</v>
      </c>
      <c r="B195" s="33"/>
      <c r="C195" s="33"/>
      <c r="D195" s="33"/>
      <c r="E195" s="33"/>
      <c r="F195" s="33"/>
      <c r="G195" s="33"/>
      <c r="H195" s="33"/>
      <c r="I195" s="33">
        <v>3.02</v>
      </c>
    </row>
    <row r="196" spans="1:9" x14ac:dyDescent="0.3">
      <c r="A196" s="34" t="s">
        <v>103</v>
      </c>
      <c r="B196" s="36"/>
      <c r="C196" s="36"/>
      <c r="D196" s="36"/>
      <c r="E196" s="36"/>
      <c r="F196" s="36"/>
      <c r="G196" s="36"/>
      <c r="H196" s="36"/>
      <c r="I196" s="36">
        <v>0.06</v>
      </c>
    </row>
    <row r="197" spans="1:9" x14ac:dyDescent="0.3">
      <c r="A197" s="32" t="s">
        <v>104</v>
      </c>
      <c r="B197" s="33"/>
      <c r="C197" s="33"/>
      <c r="D197" s="33"/>
      <c r="E197" s="33"/>
      <c r="F197" s="33"/>
      <c r="G197" s="33"/>
      <c r="H197" s="33"/>
      <c r="I197" s="33">
        <v>7.0000000000000007E-2</v>
      </c>
    </row>
    <row r="198" spans="1:9" x14ac:dyDescent="0.3">
      <c r="A198" s="30" t="s">
        <v>113</v>
      </c>
      <c r="B198" s="29"/>
      <c r="C198" s="29"/>
      <c r="D198" s="29"/>
      <c r="E198" s="29"/>
      <c r="F198" s="29"/>
      <c r="G198" s="29"/>
      <c r="H198" s="29"/>
      <c r="I198" s="29">
        <v>0.06</v>
      </c>
    </row>
    <row r="199" spans="1:9" x14ac:dyDescent="0.3">
      <c r="A199" s="30" t="s">
        <v>114</v>
      </c>
      <c r="B199" s="29"/>
      <c r="C199" s="29"/>
      <c r="D199" s="29"/>
      <c r="E199" s="29"/>
      <c r="F199" s="29"/>
      <c r="G199" s="29"/>
      <c r="H199" s="29"/>
      <c r="I199" s="29">
        <v>-0.03</v>
      </c>
    </row>
    <row r="200" spans="1:9" x14ac:dyDescent="0.3">
      <c r="A200" s="30" t="s">
        <v>115</v>
      </c>
      <c r="B200" s="29"/>
      <c r="C200" s="29"/>
      <c r="D200" s="29"/>
      <c r="E200" s="29"/>
      <c r="F200" s="29"/>
      <c r="G200" s="29"/>
      <c r="H200" s="29"/>
      <c r="I200" s="29">
        <v>-0.16</v>
      </c>
    </row>
    <row r="201" spans="1:9" x14ac:dyDescent="0.3">
      <c r="A201" s="30" t="s">
        <v>121</v>
      </c>
      <c r="B201" s="29"/>
      <c r="C201" s="29"/>
      <c r="D201" s="29"/>
      <c r="E201" s="29"/>
      <c r="F201" s="29"/>
      <c r="G201" s="29"/>
      <c r="H201" s="29"/>
      <c r="I201" s="29">
        <v>0.42</v>
      </c>
    </row>
    <row r="202" spans="1:9" x14ac:dyDescent="0.3">
      <c r="A202" s="28" t="s">
        <v>108</v>
      </c>
      <c r="B202" s="29"/>
      <c r="C202" s="29"/>
      <c r="D202" s="29"/>
      <c r="E202" s="29"/>
      <c r="F202" s="29"/>
      <c r="G202" s="29"/>
      <c r="H202" s="29"/>
      <c r="I202" s="29">
        <v>0</v>
      </c>
    </row>
    <row r="203" spans="1:9" ht="15" thickBot="1" x14ac:dyDescent="0.35">
      <c r="A203" s="31" t="s">
        <v>105</v>
      </c>
      <c r="B203" s="35"/>
      <c r="C203" s="35"/>
      <c r="D203" s="35"/>
      <c r="E203" s="35"/>
      <c r="F203" s="35"/>
      <c r="G203" s="35"/>
      <c r="H203" s="35"/>
      <c r="I203" s="35">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1"/>
  <sheetViews>
    <sheetView zoomScale="79" workbookViewId="0"/>
  </sheetViews>
  <sheetFormatPr defaultRowHeight="14.4" x14ac:dyDescent="0.3"/>
  <cols>
    <col min="1" max="1" width="48.77734375" customWidth="1"/>
    <col min="2" max="14" width="11.777343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128</v>
      </c>
      <c r="B2" s="38"/>
      <c r="C2" s="38"/>
      <c r="D2" s="38"/>
      <c r="E2" s="38"/>
      <c r="F2" s="38"/>
      <c r="G2" s="38"/>
      <c r="H2" s="38"/>
      <c r="I2" s="38"/>
      <c r="J2" s="37"/>
      <c r="K2" s="37"/>
      <c r="L2" s="37"/>
      <c r="M2" s="37"/>
      <c r="N2" s="37"/>
    </row>
    <row r="3" spans="1:15" x14ac:dyDescent="0.3">
      <c r="A3" s="39" t="s">
        <v>139</v>
      </c>
      <c r="B3" s="3"/>
      <c r="C3" s="3"/>
      <c r="D3" s="3"/>
      <c r="E3" s="3"/>
      <c r="F3" s="3"/>
      <c r="G3" s="3"/>
      <c r="H3" s="3"/>
      <c r="I3" s="3"/>
      <c r="J3" s="3"/>
      <c r="K3" s="3"/>
      <c r="L3" s="3"/>
      <c r="M3" s="3"/>
      <c r="N3" s="3"/>
      <c r="O3" t="s">
        <v>142</v>
      </c>
    </row>
    <row r="4" spans="1:15" x14ac:dyDescent="0.3">
      <c r="A4" s="40" t="s">
        <v>129</v>
      </c>
      <c r="B4" s="45" t="str">
        <f t="shared" ref="B4:H4" si="2">+IFERROR(B3/A3-1,"nm")</f>
        <v>nm</v>
      </c>
      <c r="C4" s="45" t="str">
        <f t="shared" si="2"/>
        <v>nm</v>
      </c>
      <c r="D4" s="45" t="str">
        <f t="shared" si="2"/>
        <v>nm</v>
      </c>
      <c r="E4" s="45" t="str">
        <f t="shared" si="2"/>
        <v>nm</v>
      </c>
      <c r="F4" s="45" t="str">
        <f t="shared" si="2"/>
        <v>nm</v>
      </c>
      <c r="G4" s="45" t="str">
        <f t="shared" si="2"/>
        <v>nm</v>
      </c>
      <c r="H4" s="45" t="str">
        <f t="shared" si="2"/>
        <v>nm</v>
      </c>
      <c r="I4" s="45" t="str">
        <f>+IFERROR(I3/H3-1,"nm")</f>
        <v>nm</v>
      </c>
      <c r="J4" s="45" t="str">
        <f t="shared" ref="J4:N4" si="3">+IFERROR(J3/I3-1,"nm")</f>
        <v>nm</v>
      </c>
      <c r="K4" s="45" t="str">
        <f t="shared" si="3"/>
        <v>nm</v>
      </c>
      <c r="L4" s="45" t="str">
        <f t="shared" si="3"/>
        <v>nm</v>
      </c>
      <c r="M4" s="45" t="str">
        <f t="shared" si="3"/>
        <v>nm</v>
      </c>
      <c r="N4" s="45" t="str">
        <f t="shared" si="3"/>
        <v>nm</v>
      </c>
    </row>
    <row r="5" spans="1:15" x14ac:dyDescent="0.3">
      <c r="A5" s="39" t="s">
        <v>130</v>
      </c>
      <c r="O5" t="s">
        <v>143</v>
      </c>
    </row>
    <row r="6" spans="1:15" x14ac:dyDescent="0.3">
      <c r="A6" s="40" t="s">
        <v>129</v>
      </c>
      <c r="B6" s="45" t="str">
        <f t="shared" ref="B6:H6" si="4">+IFERROR(B5/A5-1,"nm")</f>
        <v>nm</v>
      </c>
      <c r="C6" s="45" t="str">
        <f t="shared" si="4"/>
        <v>nm</v>
      </c>
      <c r="D6" s="45" t="str">
        <f t="shared" si="4"/>
        <v>nm</v>
      </c>
      <c r="E6" s="45" t="str">
        <f t="shared" si="4"/>
        <v>nm</v>
      </c>
      <c r="F6" s="45" t="str">
        <f t="shared" si="4"/>
        <v>nm</v>
      </c>
      <c r="G6" s="45" t="str">
        <f t="shared" si="4"/>
        <v>nm</v>
      </c>
      <c r="H6" s="45" t="str">
        <f t="shared" si="4"/>
        <v>nm</v>
      </c>
      <c r="I6" s="45" t="str">
        <f>+IFERROR(I5/H5-1,"nm")</f>
        <v>nm</v>
      </c>
      <c r="J6" s="45" t="str">
        <f t="shared" ref="J6:N6" si="5">+IFERROR(J5/I5-1,"nm")</f>
        <v>nm</v>
      </c>
      <c r="K6" s="45" t="str">
        <f t="shared" si="5"/>
        <v>nm</v>
      </c>
      <c r="L6" s="45" t="str">
        <f t="shared" si="5"/>
        <v>nm</v>
      </c>
      <c r="M6" s="45" t="str">
        <f t="shared" si="5"/>
        <v>nm</v>
      </c>
      <c r="N6" s="45" t="str">
        <f t="shared" si="5"/>
        <v>nm</v>
      </c>
    </row>
    <row r="7" spans="1:15" x14ac:dyDescent="0.3">
      <c r="A7" s="40" t="s">
        <v>131</v>
      </c>
      <c r="B7" s="45" t="str">
        <f>+IFERROR(B5/B$3,"nm")</f>
        <v>nm</v>
      </c>
      <c r="C7" s="45" t="str">
        <f t="shared" ref="C7:I7" si="6">+IFERROR(C5/C$3,"nm")</f>
        <v>nm</v>
      </c>
      <c r="D7" s="45" t="str">
        <f t="shared" si="6"/>
        <v>nm</v>
      </c>
      <c r="E7" s="45" t="str">
        <f t="shared" si="6"/>
        <v>nm</v>
      </c>
      <c r="F7" s="45" t="str">
        <f t="shared" si="6"/>
        <v>nm</v>
      </c>
      <c r="G7" s="45" t="str">
        <f t="shared" si="6"/>
        <v>nm</v>
      </c>
      <c r="H7" s="45" t="str">
        <f t="shared" si="6"/>
        <v>nm</v>
      </c>
      <c r="I7" s="45" t="str">
        <f t="shared" si="6"/>
        <v>nm</v>
      </c>
      <c r="J7" s="45" t="str">
        <f t="shared" ref="J7:N7" si="7">+IFERROR(J5/J$3,"nm")</f>
        <v>nm</v>
      </c>
      <c r="K7" s="45" t="str">
        <f t="shared" si="7"/>
        <v>nm</v>
      </c>
      <c r="L7" s="45" t="str">
        <f t="shared" si="7"/>
        <v>nm</v>
      </c>
      <c r="M7" s="45" t="str">
        <f t="shared" si="7"/>
        <v>nm</v>
      </c>
      <c r="N7" s="45" t="str">
        <f t="shared" si="7"/>
        <v>nm</v>
      </c>
    </row>
    <row r="8" spans="1:15" x14ac:dyDescent="0.3">
      <c r="A8" s="39" t="s">
        <v>132</v>
      </c>
      <c r="O8" t="s">
        <v>144</v>
      </c>
    </row>
    <row r="9" spans="1:15" x14ac:dyDescent="0.3">
      <c r="A9" s="40" t="s">
        <v>129</v>
      </c>
      <c r="B9" s="45" t="str">
        <f t="shared" ref="B9:H9" si="8">+IFERROR(B8/A8-1,"nm")</f>
        <v>nm</v>
      </c>
      <c r="C9" s="45" t="str">
        <f t="shared" si="8"/>
        <v>nm</v>
      </c>
      <c r="D9" s="45" t="str">
        <f t="shared" si="8"/>
        <v>nm</v>
      </c>
      <c r="E9" s="45" t="str">
        <f t="shared" si="8"/>
        <v>nm</v>
      </c>
      <c r="F9" s="45" t="str">
        <f t="shared" si="8"/>
        <v>nm</v>
      </c>
      <c r="G9" s="45" t="str">
        <f t="shared" si="8"/>
        <v>nm</v>
      </c>
      <c r="H9" s="45" t="str">
        <f t="shared" si="8"/>
        <v>nm</v>
      </c>
      <c r="I9" s="45" t="str">
        <f>+IFERROR(I8/H8-1,"nm")</f>
        <v>nm</v>
      </c>
      <c r="J9" s="45" t="str">
        <f t="shared" ref="J9:N9" si="9">+IFERROR(J8/I8-1,"nm")</f>
        <v>nm</v>
      </c>
      <c r="K9" s="45" t="str">
        <f t="shared" si="9"/>
        <v>nm</v>
      </c>
      <c r="L9" s="45" t="str">
        <f t="shared" si="9"/>
        <v>nm</v>
      </c>
      <c r="M9" s="45" t="str">
        <f t="shared" si="9"/>
        <v>nm</v>
      </c>
      <c r="N9" s="45" t="str">
        <f t="shared" si="9"/>
        <v>nm</v>
      </c>
    </row>
    <row r="10" spans="1:15" x14ac:dyDescent="0.3">
      <c r="A10" s="40" t="s">
        <v>133</v>
      </c>
      <c r="B10" s="45" t="str">
        <f>+IFERROR(B8/B$3,"nm")</f>
        <v>nm</v>
      </c>
      <c r="C10" s="45" t="str">
        <f t="shared" ref="C10:I10" si="10">+IFERROR(C8/C$3,"nm")</f>
        <v>nm</v>
      </c>
      <c r="D10" s="45" t="str">
        <f t="shared" si="10"/>
        <v>nm</v>
      </c>
      <c r="E10" s="45" t="str">
        <f t="shared" si="10"/>
        <v>nm</v>
      </c>
      <c r="F10" s="45" t="str">
        <f t="shared" si="10"/>
        <v>nm</v>
      </c>
      <c r="G10" s="45" t="str">
        <f t="shared" si="10"/>
        <v>nm</v>
      </c>
      <c r="H10" s="45" t="str">
        <f t="shared" si="10"/>
        <v>nm</v>
      </c>
      <c r="I10" s="45" t="str">
        <f t="shared" si="10"/>
        <v>nm</v>
      </c>
      <c r="J10" s="45" t="str">
        <f t="shared" ref="J10:N10" si="11">+IFERROR(J8/J$3,"nm")</f>
        <v>nm</v>
      </c>
      <c r="K10" s="45" t="str">
        <f t="shared" si="11"/>
        <v>nm</v>
      </c>
      <c r="L10" s="45" t="str">
        <f t="shared" si="11"/>
        <v>nm</v>
      </c>
      <c r="M10" s="45" t="str">
        <f t="shared" si="11"/>
        <v>nm</v>
      </c>
      <c r="N10" s="45" t="str">
        <f t="shared" si="11"/>
        <v>nm</v>
      </c>
    </row>
    <row r="11" spans="1:15" x14ac:dyDescent="0.3">
      <c r="A11" s="39" t="s">
        <v>134</v>
      </c>
      <c r="O11" t="s">
        <v>145</v>
      </c>
    </row>
    <row r="12" spans="1:15" x14ac:dyDescent="0.3">
      <c r="A12" s="40" t="s">
        <v>129</v>
      </c>
      <c r="B12" s="45" t="str">
        <f t="shared" ref="B12:H12" si="12">+IFERROR(B11/A11-1,"nm")</f>
        <v>nm</v>
      </c>
      <c r="C12" s="45" t="str">
        <f t="shared" si="12"/>
        <v>nm</v>
      </c>
      <c r="D12" s="45" t="str">
        <f t="shared" si="12"/>
        <v>nm</v>
      </c>
      <c r="E12" s="45" t="str">
        <f t="shared" si="12"/>
        <v>nm</v>
      </c>
      <c r="F12" s="45" t="str">
        <f t="shared" si="12"/>
        <v>nm</v>
      </c>
      <c r="G12" s="45" t="str">
        <f t="shared" si="12"/>
        <v>nm</v>
      </c>
      <c r="H12" s="45" t="str">
        <f t="shared" si="12"/>
        <v>nm</v>
      </c>
      <c r="I12" s="45" t="str">
        <f>+IFERROR(I11/H11-1,"nm")</f>
        <v>nm</v>
      </c>
      <c r="J12" s="45" t="str">
        <f t="shared" ref="J12:N12" si="13">+IFERROR(J11/I11-1,"nm")</f>
        <v>nm</v>
      </c>
      <c r="K12" s="45" t="str">
        <f t="shared" si="13"/>
        <v>nm</v>
      </c>
      <c r="L12" s="45" t="str">
        <f t="shared" si="13"/>
        <v>nm</v>
      </c>
      <c r="M12" s="45" t="str">
        <f t="shared" si="13"/>
        <v>nm</v>
      </c>
      <c r="N12" s="45" t="str">
        <f t="shared" si="13"/>
        <v>nm</v>
      </c>
    </row>
    <row r="13" spans="1:15" x14ac:dyDescent="0.3">
      <c r="A13" s="40" t="s">
        <v>131</v>
      </c>
      <c r="B13" s="45" t="str">
        <f>+IFERROR(B11/B$3,"nm")</f>
        <v>nm</v>
      </c>
      <c r="C13" s="45" t="str">
        <f t="shared" ref="C13:I13" si="14">+IFERROR(C11/C$3,"nm")</f>
        <v>nm</v>
      </c>
      <c r="D13" s="45" t="str">
        <f t="shared" si="14"/>
        <v>nm</v>
      </c>
      <c r="E13" s="45" t="str">
        <f t="shared" si="14"/>
        <v>nm</v>
      </c>
      <c r="F13" s="45" t="str">
        <f t="shared" si="14"/>
        <v>nm</v>
      </c>
      <c r="G13" s="45" t="str">
        <f t="shared" si="14"/>
        <v>nm</v>
      </c>
      <c r="H13" s="45" t="str">
        <f t="shared" si="14"/>
        <v>nm</v>
      </c>
      <c r="I13" s="45" t="str">
        <f t="shared" si="14"/>
        <v>nm</v>
      </c>
      <c r="J13" s="45" t="str">
        <f t="shared" ref="J13:N13" si="15">+IFERROR(J11/J$3,"nm")</f>
        <v>nm</v>
      </c>
      <c r="K13" s="45" t="str">
        <f t="shared" si="15"/>
        <v>nm</v>
      </c>
      <c r="L13" s="45" t="str">
        <f t="shared" si="15"/>
        <v>nm</v>
      </c>
      <c r="M13" s="45" t="str">
        <f t="shared" si="15"/>
        <v>nm</v>
      </c>
      <c r="N13" s="45" t="str">
        <f t="shared" si="15"/>
        <v>nm</v>
      </c>
    </row>
    <row r="14" spans="1:15" x14ac:dyDescent="0.3">
      <c r="A14" s="39" t="s">
        <v>135</v>
      </c>
      <c r="O14" t="s">
        <v>146</v>
      </c>
    </row>
    <row r="15" spans="1:15" x14ac:dyDescent="0.3">
      <c r="A15" s="40" t="s">
        <v>129</v>
      </c>
      <c r="B15" s="45" t="str">
        <f t="shared" ref="B15:H15" si="16">+IFERROR(B14/A14-1,"nm")</f>
        <v>nm</v>
      </c>
      <c r="C15" s="45" t="str">
        <f t="shared" si="16"/>
        <v>nm</v>
      </c>
      <c r="D15" s="45" t="str">
        <f t="shared" si="16"/>
        <v>nm</v>
      </c>
      <c r="E15" s="45" t="str">
        <f t="shared" si="16"/>
        <v>nm</v>
      </c>
      <c r="F15" s="45" t="str">
        <f t="shared" si="16"/>
        <v>nm</v>
      </c>
      <c r="G15" s="45" t="str">
        <f t="shared" si="16"/>
        <v>nm</v>
      </c>
      <c r="H15" s="45" t="str">
        <f t="shared" si="16"/>
        <v>nm</v>
      </c>
      <c r="I15" s="45" t="str">
        <f>+IFERROR(I14/H14-1,"nm")</f>
        <v>nm</v>
      </c>
      <c r="J15" s="45" t="str">
        <f t="shared" ref="J15:N15" si="17">+IFERROR(J14/I14-1,"nm")</f>
        <v>nm</v>
      </c>
      <c r="K15" s="45" t="str">
        <f t="shared" si="17"/>
        <v>nm</v>
      </c>
      <c r="L15" s="45" t="str">
        <f t="shared" si="17"/>
        <v>nm</v>
      </c>
      <c r="M15" s="45" t="str">
        <f t="shared" si="17"/>
        <v>nm</v>
      </c>
      <c r="N15" s="45" t="str">
        <f t="shared" si="17"/>
        <v>nm</v>
      </c>
    </row>
    <row r="16" spans="1:15" x14ac:dyDescent="0.3">
      <c r="A16" s="40" t="s">
        <v>133</v>
      </c>
      <c r="B16" s="45" t="str">
        <f>+IFERROR(B14/B$3,"nm")</f>
        <v>nm</v>
      </c>
      <c r="C16" s="45" t="str">
        <f t="shared" ref="C16:I16" si="18">+IFERROR(C14/C$3,"nm")</f>
        <v>nm</v>
      </c>
      <c r="D16" s="45" t="str">
        <f t="shared" si="18"/>
        <v>nm</v>
      </c>
      <c r="E16" s="45" t="str">
        <f t="shared" si="18"/>
        <v>nm</v>
      </c>
      <c r="F16" s="45" t="str">
        <f t="shared" si="18"/>
        <v>nm</v>
      </c>
      <c r="G16" s="45" t="str">
        <f t="shared" si="18"/>
        <v>nm</v>
      </c>
      <c r="H16" s="45" t="str">
        <f t="shared" si="18"/>
        <v>nm</v>
      </c>
      <c r="I16" s="45" t="str">
        <f t="shared" si="18"/>
        <v>nm</v>
      </c>
      <c r="J16" s="45" t="str">
        <f t="shared" ref="J16:N16" si="19">+IFERROR(J14/J$3,"nm")</f>
        <v>nm</v>
      </c>
      <c r="K16" s="45" t="str">
        <f t="shared" si="19"/>
        <v>nm</v>
      </c>
      <c r="L16" s="45" t="str">
        <f t="shared" si="19"/>
        <v>nm</v>
      </c>
      <c r="M16" s="45" t="str">
        <f t="shared" si="19"/>
        <v>nm</v>
      </c>
      <c r="N16" s="45" t="str">
        <f t="shared" si="19"/>
        <v>nm</v>
      </c>
    </row>
    <row r="17" spans="1:15" x14ac:dyDescent="0.3">
      <c r="A17" s="9" t="s">
        <v>141</v>
      </c>
      <c r="O17" t="s">
        <v>147</v>
      </c>
    </row>
    <row r="18" spans="1:15" x14ac:dyDescent="0.3">
      <c r="A18" s="40" t="s">
        <v>129</v>
      </c>
      <c r="B18" s="45" t="str">
        <f t="shared" ref="B18:H18" si="20">+IFERROR(B17/A17-1,"nm")</f>
        <v>nm</v>
      </c>
      <c r="C18" s="45" t="str">
        <f t="shared" si="20"/>
        <v>nm</v>
      </c>
      <c r="D18" s="45" t="str">
        <f t="shared" si="20"/>
        <v>nm</v>
      </c>
      <c r="E18" s="45" t="str">
        <f t="shared" si="20"/>
        <v>nm</v>
      </c>
      <c r="F18" s="45" t="str">
        <f t="shared" si="20"/>
        <v>nm</v>
      </c>
      <c r="G18" s="45" t="str">
        <f t="shared" si="20"/>
        <v>nm</v>
      </c>
      <c r="H18" s="45" t="str">
        <f t="shared" si="20"/>
        <v>nm</v>
      </c>
      <c r="I18" s="45" t="str">
        <f>+IFERROR(I17/H17-1,"nm")</f>
        <v>nm</v>
      </c>
      <c r="J18" s="45" t="str">
        <f t="shared" ref="J18:N18" si="21">+IFERROR(J17/I17-1,"nm")</f>
        <v>nm</v>
      </c>
      <c r="K18" s="45" t="str">
        <f t="shared" si="21"/>
        <v>nm</v>
      </c>
      <c r="L18" s="45" t="str">
        <f t="shared" si="21"/>
        <v>nm</v>
      </c>
      <c r="M18" s="45" t="str">
        <f t="shared" si="21"/>
        <v>nm</v>
      </c>
      <c r="N18" s="45" t="str">
        <f t="shared" si="21"/>
        <v>nm</v>
      </c>
    </row>
    <row r="19" spans="1:15" x14ac:dyDescent="0.3">
      <c r="A19" s="40" t="s">
        <v>133</v>
      </c>
      <c r="B19" s="45" t="str">
        <f>+IFERROR(B17/B$3,"nm")</f>
        <v>nm</v>
      </c>
      <c r="C19" s="45" t="str">
        <f t="shared" ref="C19:I19" si="22">+IFERROR(C17/C$3,"nm")</f>
        <v>nm</v>
      </c>
      <c r="D19" s="45" t="str">
        <f t="shared" si="22"/>
        <v>nm</v>
      </c>
      <c r="E19" s="45" t="str">
        <f t="shared" si="22"/>
        <v>nm</v>
      </c>
      <c r="F19" s="45" t="str">
        <f t="shared" si="22"/>
        <v>nm</v>
      </c>
      <c r="G19" s="45" t="str">
        <f t="shared" si="22"/>
        <v>nm</v>
      </c>
      <c r="H19" s="45" t="str">
        <f t="shared" si="22"/>
        <v>nm</v>
      </c>
      <c r="I19" s="45" t="str">
        <f t="shared" si="22"/>
        <v>nm</v>
      </c>
      <c r="J19" s="45" t="str">
        <f t="shared" ref="J19:N19" si="23">+IFERROR(J17/J$3,"nm")</f>
        <v>nm</v>
      </c>
      <c r="K19" s="45" t="str">
        <f t="shared" si="23"/>
        <v>nm</v>
      </c>
      <c r="L19" s="45" t="str">
        <f t="shared" si="23"/>
        <v>nm</v>
      </c>
      <c r="M19" s="45" t="str">
        <f t="shared" si="23"/>
        <v>nm</v>
      </c>
      <c r="N19" s="45" t="str">
        <f t="shared" si="23"/>
        <v>nm</v>
      </c>
    </row>
    <row r="20" spans="1:15" x14ac:dyDescent="0.3">
      <c r="A20" s="41" t="str">
        <f>+Historicals!A107</f>
        <v>North America</v>
      </c>
      <c r="B20" s="41"/>
      <c r="C20" s="41"/>
      <c r="D20" s="41"/>
      <c r="E20" s="41"/>
      <c r="F20" s="41"/>
      <c r="G20" s="41"/>
      <c r="H20" s="41"/>
      <c r="I20" s="41"/>
      <c r="J20" s="37"/>
      <c r="K20" s="37"/>
      <c r="L20" s="37"/>
      <c r="M20" s="37"/>
      <c r="N20" s="37"/>
    </row>
    <row r="21" spans="1:15" x14ac:dyDescent="0.3">
      <c r="A21" s="9" t="s">
        <v>136</v>
      </c>
      <c r="B21" s="9">
        <f>+Historicals!B107</f>
        <v>0</v>
      </c>
      <c r="C21" s="9">
        <f>+Historicals!C107</f>
        <v>0</v>
      </c>
      <c r="D21" s="9">
        <f>+Historicals!D107</f>
        <v>0</v>
      </c>
      <c r="E21" s="9">
        <f>+Historicals!E107</f>
        <v>0</v>
      </c>
      <c r="F21" s="9">
        <f>+Historicals!F107</f>
        <v>0</v>
      </c>
      <c r="G21" s="9">
        <f>+Historicals!G107</f>
        <v>0</v>
      </c>
      <c r="H21" s="9">
        <f>+Historicals!H107</f>
        <v>17179</v>
      </c>
      <c r="I21" s="9">
        <f>+Historicals!I107</f>
        <v>18353</v>
      </c>
      <c r="J21" s="9">
        <f>+SUM(J23+J27+J31)</f>
        <v>18353</v>
      </c>
      <c r="K21" s="9">
        <f t="shared" ref="K21:N21" si="24">+SUM(K23+K27+K31)</f>
        <v>18353</v>
      </c>
      <c r="L21" s="9">
        <f t="shared" si="24"/>
        <v>18353</v>
      </c>
      <c r="M21" s="9">
        <f t="shared" si="24"/>
        <v>18353</v>
      </c>
      <c r="N21" s="9">
        <f t="shared" si="24"/>
        <v>18353</v>
      </c>
    </row>
    <row r="22" spans="1:15" x14ac:dyDescent="0.3">
      <c r="A22" s="42" t="s">
        <v>129</v>
      </c>
      <c r="B22" s="45" t="str">
        <f t="shared" ref="B22:H22" si="25">+IFERROR(B21/A21-1,"nm")</f>
        <v>nm</v>
      </c>
      <c r="C22" s="45" t="str">
        <f t="shared" si="25"/>
        <v>nm</v>
      </c>
      <c r="D22" s="45" t="str">
        <f t="shared" si="25"/>
        <v>nm</v>
      </c>
      <c r="E22" s="45" t="str">
        <f t="shared" si="25"/>
        <v>nm</v>
      </c>
      <c r="F22" s="45" t="str">
        <f t="shared" si="25"/>
        <v>nm</v>
      </c>
      <c r="G22" s="45" t="str">
        <f t="shared" si="25"/>
        <v>nm</v>
      </c>
      <c r="H22" s="45" t="str">
        <f t="shared" si="25"/>
        <v>nm</v>
      </c>
      <c r="I22" s="45">
        <f>+IFERROR(I21/H21-1,"nm")</f>
        <v>6.8339251411607238E-2</v>
      </c>
      <c r="J22" s="45">
        <f t="shared" ref="J22:N22" si="26">+IFERROR(J21/I21-1,"nm")</f>
        <v>0</v>
      </c>
      <c r="K22" s="45">
        <f t="shared" si="26"/>
        <v>0</v>
      </c>
      <c r="L22" s="45">
        <f t="shared" si="26"/>
        <v>0</v>
      </c>
      <c r="M22" s="45">
        <f t="shared" si="26"/>
        <v>0</v>
      </c>
      <c r="N22" s="45">
        <f t="shared" si="26"/>
        <v>0</v>
      </c>
    </row>
    <row r="23" spans="1:15" x14ac:dyDescent="0.3">
      <c r="A23" s="43" t="s">
        <v>113</v>
      </c>
      <c r="B23" s="3">
        <f>+Historicals!B108</f>
        <v>0</v>
      </c>
      <c r="C23" s="3">
        <f>+Historicals!C108</f>
        <v>0</v>
      </c>
      <c r="D23" s="3">
        <f>+Historicals!D108</f>
        <v>0</v>
      </c>
      <c r="E23" s="3">
        <f>+Historicals!E108</f>
        <v>0</v>
      </c>
      <c r="F23" s="3">
        <f>+Historicals!F108</f>
        <v>0</v>
      </c>
      <c r="G23" s="3">
        <f>+Historicals!G108</f>
        <v>0</v>
      </c>
      <c r="H23" s="3">
        <f>+Historicals!H108</f>
        <v>11644</v>
      </c>
      <c r="I23" s="3">
        <f>+Historicals!I108</f>
        <v>12228</v>
      </c>
      <c r="J23" s="3">
        <f>+I23*(1+J24)</f>
        <v>12228</v>
      </c>
      <c r="K23" s="3">
        <f t="shared" ref="K23:N23" si="27">+J23*(1+K24)</f>
        <v>12228</v>
      </c>
      <c r="L23" s="3">
        <f t="shared" si="27"/>
        <v>12228</v>
      </c>
      <c r="M23" s="3">
        <f t="shared" si="27"/>
        <v>12228</v>
      </c>
      <c r="N23" s="3">
        <f t="shared" si="27"/>
        <v>12228</v>
      </c>
    </row>
    <row r="24" spans="1:15" x14ac:dyDescent="0.3">
      <c r="A24" s="42" t="s">
        <v>129</v>
      </c>
      <c r="B24" s="45" t="str">
        <f t="shared" ref="B24" si="28">+IFERROR(B23/A23-1,"nm")</f>
        <v>nm</v>
      </c>
      <c r="C24" s="45" t="str">
        <f t="shared" ref="C24" si="29">+IFERROR(C23/B23-1,"nm")</f>
        <v>nm</v>
      </c>
      <c r="D24" s="45" t="str">
        <f t="shared" ref="D24" si="30">+IFERROR(D23/C23-1,"nm")</f>
        <v>nm</v>
      </c>
      <c r="E24" s="45" t="str">
        <f t="shared" ref="E24" si="31">+IFERROR(E23/D23-1,"nm")</f>
        <v>nm</v>
      </c>
      <c r="F24" s="45" t="str">
        <f t="shared" ref="F24" si="32">+IFERROR(F23/E23-1,"nm")</f>
        <v>nm</v>
      </c>
      <c r="G24" s="45" t="str">
        <f t="shared" ref="G24" si="33">+IFERROR(G23/F23-1,"nm")</f>
        <v>nm</v>
      </c>
      <c r="H24" s="45" t="str">
        <f t="shared" ref="H24" si="34">+IFERROR(H23/G23-1,"nm")</f>
        <v>nm</v>
      </c>
      <c r="I24" s="45">
        <f>+IFERROR(I23/H23-1,"nm")</f>
        <v>5.0154586052902683E-2</v>
      </c>
      <c r="J24" s="45">
        <f>+J25+J26</f>
        <v>0</v>
      </c>
      <c r="K24" s="45">
        <f t="shared" ref="K24:N24" si="35">+K25+K26</f>
        <v>0</v>
      </c>
      <c r="L24" s="45">
        <f t="shared" si="35"/>
        <v>0</v>
      </c>
      <c r="M24" s="45">
        <f t="shared" si="35"/>
        <v>0</v>
      </c>
      <c r="N24" s="45">
        <f t="shared" si="35"/>
        <v>0</v>
      </c>
    </row>
    <row r="25" spans="1:15" x14ac:dyDescent="0.3">
      <c r="A25" s="42" t="s">
        <v>137</v>
      </c>
      <c r="B25" s="45">
        <f>+Historicals!B180</f>
        <v>0</v>
      </c>
      <c r="C25" s="45">
        <f>+Historicals!C180</f>
        <v>0</v>
      </c>
      <c r="D25" s="45">
        <f>+Historicals!D180</f>
        <v>0</v>
      </c>
      <c r="E25" s="45">
        <f>+Historicals!E180</f>
        <v>0</v>
      </c>
      <c r="F25" s="45">
        <f>+Historicals!F180</f>
        <v>0</v>
      </c>
      <c r="G25" s="45">
        <f>+Historicals!G180</f>
        <v>0</v>
      </c>
      <c r="H25" s="45">
        <f>+Historicals!H180</f>
        <v>0</v>
      </c>
      <c r="I25" s="45">
        <f>+Historicals!I180</f>
        <v>0.05</v>
      </c>
      <c r="J25" s="47">
        <v>0</v>
      </c>
      <c r="K25" s="47">
        <f t="shared" ref="K25:N26" si="36">+J25</f>
        <v>0</v>
      </c>
      <c r="L25" s="47">
        <f t="shared" si="36"/>
        <v>0</v>
      </c>
      <c r="M25" s="47">
        <f t="shared" si="36"/>
        <v>0</v>
      </c>
      <c r="N25" s="47">
        <f t="shared" si="36"/>
        <v>0</v>
      </c>
    </row>
    <row r="26" spans="1:15" x14ac:dyDescent="0.3">
      <c r="A26" s="42" t="s">
        <v>138</v>
      </c>
      <c r="B26" s="45" t="str">
        <f t="shared" ref="B26:H26" si="37">+IFERROR(B24-B25,"nm")</f>
        <v>nm</v>
      </c>
      <c r="C26" s="45" t="str">
        <f t="shared" si="37"/>
        <v>nm</v>
      </c>
      <c r="D26" s="45" t="str">
        <f t="shared" si="37"/>
        <v>nm</v>
      </c>
      <c r="E26" s="45" t="str">
        <f t="shared" si="37"/>
        <v>nm</v>
      </c>
      <c r="F26" s="45" t="str">
        <f t="shared" si="37"/>
        <v>nm</v>
      </c>
      <c r="G26" s="45" t="str">
        <f t="shared" si="37"/>
        <v>nm</v>
      </c>
      <c r="H26" s="45" t="str">
        <f t="shared" si="37"/>
        <v>nm</v>
      </c>
      <c r="I26" s="45">
        <f>+IFERROR(I24-I25,"nm")</f>
        <v>1.5458605290268046E-4</v>
      </c>
      <c r="J26" s="47">
        <v>0</v>
      </c>
      <c r="K26" s="47">
        <f t="shared" si="36"/>
        <v>0</v>
      </c>
      <c r="L26" s="47">
        <f t="shared" si="36"/>
        <v>0</v>
      </c>
      <c r="M26" s="47">
        <f t="shared" si="36"/>
        <v>0</v>
      </c>
      <c r="N26" s="47">
        <f t="shared" si="36"/>
        <v>0</v>
      </c>
    </row>
    <row r="27" spans="1:15" x14ac:dyDescent="0.3">
      <c r="A27" s="43" t="s">
        <v>114</v>
      </c>
      <c r="B27" s="3">
        <f>+Historicals!B109</f>
        <v>0</v>
      </c>
      <c r="C27" s="3">
        <f>+Historicals!C109</f>
        <v>0</v>
      </c>
      <c r="D27" s="3">
        <f>+Historicals!D109</f>
        <v>0</v>
      </c>
      <c r="E27" s="3">
        <f>+Historicals!E109</f>
        <v>0</v>
      </c>
      <c r="F27" s="3">
        <f>+Historicals!F109</f>
        <v>0</v>
      </c>
      <c r="G27" s="3">
        <f>+Historicals!G109</f>
        <v>0</v>
      </c>
      <c r="H27" s="3">
        <f>+Historicals!H109</f>
        <v>5028</v>
      </c>
      <c r="I27" s="3">
        <f>+Historicals!I109</f>
        <v>5492</v>
      </c>
      <c r="J27" s="3">
        <f>+I27*(1+J28)</f>
        <v>5492</v>
      </c>
      <c r="K27" s="3">
        <f t="shared" ref="K27" si="38">+J27*(1+K28)</f>
        <v>5492</v>
      </c>
      <c r="L27" s="3">
        <f t="shared" ref="L27" si="39">+K27*(1+L28)</f>
        <v>5492</v>
      </c>
      <c r="M27" s="3">
        <f t="shared" ref="M27" si="40">+L27*(1+M28)</f>
        <v>5492</v>
      </c>
      <c r="N27" s="3">
        <f t="shared" ref="N27" si="41">+M27*(1+N28)</f>
        <v>5492</v>
      </c>
    </row>
    <row r="28" spans="1:15" x14ac:dyDescent="0.3">
      <c r="A28" s="42" t="s">
        <v>129</v>
      </c>
      <c r="B28" s="45" t="str">
        <f t="shared" ref="B28" si="42">+IFERROR(B27/A27-1,"nm")</f>
        <v>nm</v>
      </c>
      <c r="C28" s="45" t="str">
        <f t="shared" ref="C28" si="43">+IFERROR(C27/B27-1,"nm")</f>
        <v>nm</v>
      </c>
      <c r="D28" s="45" t="str">
        <f t="shared" ref="D28" si="44">+IFERROR(D27/C27-1,"nm")</f>
        <v>nm</v>
      </c>
      <c r="E28" s="45" t="str">
        <f t="shared" ref="E28" si="45">+IFERROR(E27/D27-1,"nm")</f>
        <v>nm</v>
      </c>
      <c r="F28" s="45" t="str">
        <f t="shared" ref="F28" si="46">+IFERROR(F27/E27-1,"nm")</f>
        <v>nm</v>
      </c>
      <c r="G28" s="45" t="str">
        <f t="shared" ref="G28" si="47">+IFERROR(G27/F27-1,"nm")</f>
        <v>nm</v>
      </c>
      <c r="H28" s="45" t="str">
        <f t="shared" ref="H28" si="48">+IFERROR(H27/G27-1,"nm")</f>
        <v>nm</v>
      </c>
      <c r="I28" s="45">
        <f>+IFERROR(I27/H27-1,"nm")</f>
        <v>9.2283214001591007E-2</v>
      </c>
      <c r="J28" s="45">
        <f>+J29+J30</f>
        <v>0</v>
      </c>
      <c r="K28" s="45">
        <f t="shared" ref="K28" si="49">+K29+K30</f>
        <v>0</v>
      </c>
      <c r="L28" s="45">
        <f t="shared" ref="L28" si="50">+L29+L30</f>
        <v>0</v>
      </c>
      <c r="M28" s="45">
        <f t="shared" ref="M28" si="51">+M29+M30</f>
        <v>0</v>
      </c>
      <c r="N28" s="45">
        <f t="shared" ref="N28" si="52">+N29+N30</f>
        <v>0</v>
      </c>
    </row>
    <row r="29" spans="1:15" x14ac:dyDescent="0.3">
      <c r="A29" s="42" t="s">
        <v>137</v>
      </c>
      <c r="B29" s="45">
        <f>+Historicals!B184</f>
        <v>0</v>
      </c>
      <c r="C29" s="45">
        <f>+Historicals!C184</f>
        <v>0</v>
      </c>
      <c r="D29" s="45">
        <f>+Historicals!D184</f>
        <v>0</v>
      </c>
      <c r="E29" s="45">
        <f>+Historicals!E184</f>
        <v>0</v>
      </c>
      <c r="F29" s="45">
        <f>+Historicals!F184</f>
        <v>0</v>
      </c>
      <c r="G29" s="45">
        <f>+Historicals!G184</f>
        <v>0</v>
      </c>
      <c r="H29" s="45">
        <f>+Historicals!H184</f>
        <v>0</v>
      </c>
      <c r="I29" s="45">
        <f>+Historicals!I184</f>
        <v>0.09</v>
      </c>
      <c r="J29" s="47">
        <v>0</v>
      </c>
      <c r="K29" s="47">
        <f t="shared" ref="K29:N29" si="53">+J29</f>
        <v>0</v>
      </c>
      <c r="L29" s="47">
        <f t="shared" si="53"/>
        <v>0</v>
      </c>
      <c r="M29" s="47">
        <f t="shared" si="53"/>
        <v>0</v>
      </c>
      <c r="N29" s="47">
        <f t="shared" si="53"/>
        <v>0</v>
      </c>
    </row>
    <row r="30" spans="1:15" x14ac:dyDescent="0.3">
      <c r="A30" s="42" t="s">
        <v>138</v>
      </c>
      <c r="B30" s="45" t="str">
        <f t="shared" ref="B30" si="54">+IFERROR(B28-B29,"nm")</f>
        <v>nm</v>
      </c>
      <c r="C30" s="45" t="str">
        <f t="shared" ref="C30" si="55">+IFERROR(C28-C29,"nm")</f>
        <v>nm</v>
      </c>
      <c r="D30" s="45" t="str">
        <f t="shared" ref="D30" si="56">+IFERROR(D28-D29,"nm")</f>
        <v>nm</v>
      </c>
      <c r="E30" s="45" t="str">
        <f t="shared" ref="E30" si="57">+IFERROR(E28-E29,"nm")</f>
        <v>nm</v>
      </c>
      <c r="F30" s="45" t="str">
        <f t="shared" ref="F30" si="58">+IFERROR(F28-F29,"nm")</f>
        <v>nm</v>
      </c>
      <c r="G30" s="45" t="str">
        <f t="shared" ref="G30" si="59">+IFERROR(G28-G29,"nm")</f>
        <v>nm</v>
      </c>
      <c r="H30" s="45" t="str">
        <f t="shared" ref="H30" si="60">+IFERROR(H28-H29,"nm")</f>
        <v>nm</v>
      </c>
      <c r="I30" s="45">
        <f>+IFERROR(I28-I29,"nm")</f>
        <v>2.2832140015910107E-3</v>
      </c>
      <c r="J30" s="47">
        <v>0</v>
      </c>
      <c r="K30" s="47">
        <f t="shared" ref="K30:N30" si="61">+J30</f>
        <v>0</v>
      </c>
      <c r="L30" s="47">
        <f t="shared" si="61"/>
        <v>0</v>
      </c>
      <c r="M30" s="47">
        <f t="shared" si="61"/>
        <v>0</v>
      </c>
      <c r="N30" s="47">
        <f t="shared" si="61"/>
        <v>0</v>
      </c>
    </row>
    <row r="31" spans="1:15" x14ac:dyDescent="0.3">
      <c r="A31" s="43" t="s">
        <v>115</v>
      </c>
      <c r="B31" s="3">
        <f>+Historicals!B110</f>
        <v>0</v>
      </c>
      <c r="C31" s="3">
        <f>+Historicals!C110</f>
        <v>0</v>
      </c>
      <c r="D31" s="3">
        <f>+Historicals!D110</f>
        <v>0</v>
      </c>
      <c r="E31" s="3">
        <f>+Historicals!E110</f>
        <v>0</v>
      </c>
      <c r="F31" s="3">
        <f>+Historicals!F110</f>
        <v>0</v>
      </c>
      <c r="G31" s="3">
        <f>+Historicals!G110</f>
        <v>0</v>
      </c>
      <c r="H31" s="3">
        <f>+Historicals!H110</f>
        <v>507</v>
      </c>
      <c r="I31" s="3">
        <f>+Historicals!I110</f>
        <v>633</v>
      </c>
      <c r="J31" s="3">
        <f>+I31*(1+J32)</f>
        <v>633</v>
      </c>
      <c r="K31" s="3">
        <f t="shared" ref="K31" si="62">+J31*(1+K32)</f>
        <v>633</v>
      </c>
      <c r="L31" s="3">
        <f t="shared" ref="L31" si="63">+K31*(1+L32)</f>
        <v>633</v>
      </c>
      <c r="M31" s="3">
        <f t="shared" ref="M31" si="64">+L31*(1+M32)</f>
        <v>633</v>
      </c>
      <c r="N31" s="3">
        <f t="shared" ref="N31" si="65">+M31*(1+N32)</f>
        <v>633</v>
      </c>
    </row>
    <row r="32" spans="1:15" x14ac:dyDescent="0.3">
      <c r="A32" s="42" t="s">
        <v>129</v>
      </c>
      <c r="B32" s="45" t="str">
        <f t="shared" ref="B32" si="66">+IFERROR(B31/A31-1,"nm")</f>
        <v>nm</v>
      </c>
      <c r="C32" s="45" t="str">
        <f t="shared" ref="C32" si="67">+IFERROR(C31/B31-1,"nm")</f>
        <v>nm</v>
      </c>
      <c r="D32" s="45" t="str">
        <f t="shared" ref="D32" si="68">+IFERROR(D31/C31-1,"nm")</f>
        <v>nm</v>
      </c>
      <c r="E32" s="45" t="str">
        <f t="shared" ref="E32" si="69">+IFERROR(E31/D31-1,"nm")</f>
        <v>nm</v>
      </c>
      <c r="F32" s="45" t="str">
        <f t="shared" ref="F32" si="70">+IFERROR(F31/E31-1,"nm")</f>
        <v>nm</v>
      </c>
      <c r="G32" s="45" t="str">
        <f t="shared" ref="G32" si="71">+IFERROR(G31/F31-1,"nm")</f>
        <v>nm</v>
      </c>
      <c r="H32" s="45" t="str">
        <f t="shared" ref="H32" si="72">+IFERROR(H31/G31-1,"nm")</f>
        <v>nm</v>
      </c>
      <c r="I32" s="45">
        <f>+IFERROR(I31/H31-1,"nm")</f>
        <v>0.24852071005917153</v>
      </c>
      <c r="J32" s="45">
        <f>+J33+J34</f>
        <v>0</v>
      </c>
      <c r="K32" s="45">
        <f t="shared" ref="K32" si="73">+K33+K34</f>
        <v>0</v>
      </c>
      <c r="L32" s="45">
        <f t="shared" ref="L32" si="74">+L33+L34</f>
        <v>0</v>
      </c>
      <c r="M32" s="45">
        <f t="shared" ref="M32" si="75">+M33+M34</f>
        <v>0</v>
      </c>
      <c r="N32" s="45">
        <f t="shared" ref="N32" si="76">+N33+N34</f>
        <v>0</v>
      </c>
    </row>
    <row r="33" spans="1:14" x14ac:dyDescent="0.3">
      <c r="A33" s="42" t="s">
        <v>137</v>
      </c>
      <c r="B33" s="45">
        <f>+Historicals!B182</f>
        <v>0</v>
      </c>
      <c r="C33" s="45">
        <f>+Historicals!C182</f>
        <v>0</v>
      </c>
      <c r="D33" s="45">
        <f>+Historicals!D182</f>
        <v>0</v>
      </c>
      <c r="E33" s="45">
        <f>+Historicals!E182</f>
        <v>0</v>
      </c>
      <c r="F33" s="45">
        <f>+Historicals!F182</f>
        <v>0</v>
      </c>
      <c r="G33" s="45">
        <f>+Historicals!G182</f>
        <v>0</v>
      </c>
      <c r="H33" s="45">
        <f>+Historicals!H182</f>
        <v>0</v>
      </c>
      <c r="I33" s="45">
        <f>+Historicals!I182</f>
        <v>0.25</v>
      </c>
      <c r="J33" s="47">
        <v>0</v>
      </c>
      <c r="K33" s="47">
        <f t="shared" ref="K33:N33" si="77">+J33</f>
        <v>0</v>
      </c>
      <c r="L33" s="47">
        <f t="shared" si="77"/>
        <v>0</v>
      </c>
      <c r="M33" s="47">
        <f t="shared" si="77"/>
        <v>0</v>
      </c>
      <c r="N33" s="47">
        <f t="shared" si="77"/>
        <v>0</v>
      </c>
    </row>
    <row r="34" spans="1:14" x14ac:dyDescent="0.3">
      <c r="A34" s="42" t="s">
        <v>138</v>
      </c>
      <c r="B34" s="45" t="str">
        <f t="shared" ref="B34" si="78">+IFERROR(B32-B33,"nm")</f>
        <v>nm</v>
      </c>
      <c r="C34" s="45" t="str">
        <f t="shared" ref="C34" si="79">+IFERROR(C32-C33,"nm")</f>
        <v>nm</v>
      </c>
      <c r="D34" s="45" t="str">
        <f t="shared" ref="D34" si="80">+IFERROR(D32-D33,"nm")</f>
        <v>nm</v>
      </c>
      <c r="E34" s="45" t="str">
        <f t="shared" ref="E34" si="81">+IFERROR(E32-E33,"nm")</f>
        <v>nm</v>
      </c>
      <c r="F34" s="45" t="str">
        <f t="shared" ref="F34" si="82">+IFERROR(F32-F33,"nm")</f>
        <v>nm</v>
      </c>
      <c r="G34" s="45" t="str">
        <f t="shared" ref="G34" si="83">+IFERROR(G32-G33,"nm")</f>
        <v>nm</v>
      </c>
      <c r="H34" s="45" t="str">
        <f t="shared" ref="H34" si="84">+IFERROR(H32-H33,"nm")</f>
        <v>nm</v>
      </c>
      <c r="I34" s="45">
        <f>+IFERROR(I32-I33,"nm")</f>
        <v>-1.4792899408284654E-3</v>
      </c>
      <c r="J34" s="47">
        <v>0</v>
      </c>
      <c r="K34" s="47">
        <f t="shared" ref="K34:N34" si="85">+J34</f>
        <v>0</v>
      </c>
      <c r="L34" s="47">
        <f t="shared" si="85"/>
        <v>0</v>
      </c>
      <c r="M34" s="47">
        <f t="shared" si="85"/>
        <v>0</v>
      </c>
      <c r="N34" s="47">
        <f t="shared" si="85"/>
        <v>0</v>
      </c>
    </row>
    <row r="35" spans="1:14" x14ac:dyDescent="0.3">
      <c r="A35" s="9" t="s">
        <v>130</v>
      </c>
      <c r="B35" s="46">
        <f t="shared" ref="B35:H35" si="86">+B42+B38</f>
        <v>0</v>
      </c>
      <c r="C35" s="46">
        <f t="shared" si="86"/>
        <v>0</v>
      </c>
      <c r="D35" s="46">
        <f t="shared" si="86"/>
        <v>0</v>
      </c>
      <c r="E35" s="46">
        <f t="shared" si="86"/>
        <v>0</v>
      </c>
      <c r="F35" s="46">
        <f t="shared" si="86"/>
        <v>0</v>
      </c>
      <c r="G35" s="46">
        <f t="shared" si="86"/>
        <v>0</v>
      </c>
      <c r="H35" s="46">
        <f t="shared" si="86"/>
        <v>5219</v>
      </c>
      <c r="I35" s="46">
        <f>+I42+I38</f>
        <v>5238</v>
      </c>
      <c r="J35" s="46">
        <f>+J21*J37</f>
        <v>5238</v>
      </c>
      <c r="K35" s="46">
        <f t="shared" ref="K35:N35" si="87">+K21*K37</f>
        <v>5238</v>
      </c>
      <c r="L35" s="46">
        <f t="shared" si="87"/>
        <v>5238</v>
      </c>
      <c r="M35" s="46">
        <f t="shared" si="87"/>
        <v>5238</v>
      </c>
      <c r="N35" s="46">
        <f t="shared" si="87"/>
        <v>5238</v>
      </c>
    </row>
    <row r="36" spans="1:14" x14ac:dyDescent="0.3">
      <c r="A36" s="44" t="s">
        <v>129</v>
      </c>
      <c r="B36" s="45" t="str">
        <f t="shared" ref="B36" si="88">+IFERROR(B35/A35-1,"nm")</f>
        <v>nm</v>
      </c>
      <c r="C36" s="45" t="str">
        <f t="shared" ref="C36" si="89">+IFERROR(C35/B35-1,"nm")</f>
        <v>nm</v>
      </c>
      <c r="D36" s="45" t="str">
        <f t="shared" ref="D36" si="90">+IFERROR(D35/C35-1,"nm")</f>
        <v>nm</v>
      </c>
      <c r="E36" s="45" t="str">
        <f t="shared" ref="E36" si="91">+IFERROR(E35/D35-1,"nm")</f>
        <v>nm</v>
      </c>
      <c r="F36" s="45" t="str">
        <f t="shared" ref="F36" si="92">+IFERROR(F35/E35-1,"nm")</f>
        <v>nm</v>
      </c>
      <c r="G36" s="45" t="str">
        <f t="shared" ref="G36" si="93">+IFERROR(G35/F35-1,"nm")</f>
        <v>nm</v>
      </c>
      <c r="H36" s="45" t="str">
        <f t="shared" ref="H36" si="94">+IFERROR(H35/G35-1,"nm")</f>
        <v>nm</v>
      </c>
      <c r="I36" s="45">
        <f>+IFERROR(I35/H35-1,"nm")</f>
        <v>3.6405441655489312E-3</v>
      </c>
      <c r="J36" s="45">
        <f t="shared" ref="J36:N36" si="95">+IFERROR(J35/I35-1,"nm")</f>
        <v>0</v>
      </c>
      <c r="K36" s="45">
        <f t="shared" si="95"/>
        <v>0</v>
      </c>
      <c r="L36" s="45">
        <f t="shared" si="95"/>
        <v>0</v>
      </c>
      <c r="M36" s="45">
        <f t="shared" si="95"/>
        <v>0</v>
      </c>
      <c r="N36" s="45">
        <f t="shared" si="95"/>
        <v>0</v>
      </c>
    </row>
    <row r="37" spans="1:14" x14ac:dyDescent="0.3">
      <c r="A37" s="44" t="s">
        <v>131</v>
      </c>
      <c r="B37" s="45" t="str">
        <f t="shared" ref="B37:H37" si="96">+IFERROR(B35/B$21,"nm")</f>
        <v>nm</v>
      </c>
      <c r="C37" s="45" t="str">
        <f t="shared" si="96"/>
        <v>nm</v>
      </c>
      <c r="D37" s="45" t="str">
        <f t="shared" si="96"/>
        <v>nm</v>
      </c>
      <c r="E37" s="45" t="str">
        <f t="shared" si="96"/>
        <v>nm</v>
      </c>
      <c r="F37" s="45" t="str">
        <f t="shared" si="96"/>
        <v>nm</v>
      </c>
      <c r="G37" s="45" t="str">
        <f t="shared" si="96"/>
        <v>nm</v>
      </c>
      <c r="H37" s="45">
        <f t="shared" si="96"/>
        <v>0.30380115256999823</v>
      </c>
      <c r="I37" s="45">
        <f>+IFERROR(I35/I$21,"nm")</f>
        <v>0.28540293140086087</v>
      </c>
      <c r="J37" s="47">
        <f>+I37</f>
        <v>0.28540293140086087</v>
      </c>
      <c r="K37" s="47">
        <f t="shared" ref="K37:N37" si="97">+J37</f>
        <v>0.28540293140086087</v>
      </c>
      <c r="L37" s="47">
        <f t="shared" si="97"/>
        <v>0.28540293140086087</v>
      </c>
      <c r="M37" s="47">
        <f t="shared" si="97"/>
        <v>0.28540293140086087</v>
      </c>
      <c r="N37" s="47">
        <f t="shared" si="97"/>
        <v>0.28540293140086087</v>
      </c>
    </row>
    <row r="38" spans="1:14" x14ac:dyDescent="0.3">
      <c r="A38" s="9" t="s">
        <v>132</v>
      </c>
      <c r="B38" s="9">
        <f>+Historicals!B167</f>
        <v>0</v>
      </c>
      <c r="C38" s="9">
        <f>+Historicals!C167</f>
        <v>0</v>
      </c>
      <c r="D38" s="9">
        <f>+Historicals!D167</f>
        <v>0</v>
      </c>
      <c r="E38" s="9">
        <f>+Historicals!E167</f>
        <v>0</v>
      </c>
      <c r="F38" s="9">
        <f>+Historicals!F167</f>
        <v>0</v>
      </c>
      <c r="G38" s="9">
        <f>+Historicals!G167</f>
        <v>0</v>
      </c>
      <c r="H38" s="9">
        <f>+Historicals!H167</f>
        <v>130</v>
      </c>
      <c r="I38" s="9">
        <f>+Historicals!I167</f>
        <v>124</v>
      </c>
      <c r="J38" s="46">
        <f>+J41*J48</f>
        <v>124.00000000000001</v>
      </c>
      <c r="K38" s="46">
        <f t="shared" ref="K38:N38" si="98">+K41*K48</f>
        <v>124.00000000000001</v>
      </c>
      <c r="L38" s="46">
        <f t="shared" si="98"/>
        <v>124.00000000000001</v>
      </c>
      <c r="M38" s="46">
        <f t="shared" si="98"/>
        <v>124.00000000000001</v>
      </c>
      <c r="N38" s="46">
        <f t="shared" si="98"/>
        <v>124.00000000000001</v>
      </c>
    </row>
    <row r="39" spans="1:14" x14ac:dyDescent="0.3">
      <c r="A39" s="44" t="s">
        <v>129</v>
      </c>
      <c r="B39" s="45" t="str">
        <f t="shared" ref="B39" si="99">+IFERROR(B38/A38-1,"nm")</f>
        <v>nm</v>
      </c>
      <c r="C39" s="45" t="str">
        <f t="shared" ref="C39" si="100">+IFERROR(C38/B38-1,"nm")</f>
        <v>nm</v>
      </c>
      <c r="D39" s="45" t="str">
        <f t="shared" ref="D39" si="101">+IFERROR(D38/C38-1,"nm")</f>
        <v>nm</v>
      </c>
      <c r="E39" s="45" t="str">
        <f t="shared" ref="E39" si="102">+IFERROR(E38/D38-1,"nm")</f>
        <v>nm</v>
      </c>
      <c r="F39" s="45" t="str">
        <f t="shared" ref="F39" si="103">+IFERROR(F38/E38-1,"nm")</f>
        <v>nm</v>
      </c>
      <c r="G39" s="45" t="str">
        <f t="shared" ref="G39" si="104">+IFERROR(G38/F38-1,"nm")</f>
        <v>nm</v>
      </c>
      <c r="H39" s="45" t="str">
        <f t="shared" ref="H39" si="105">+IFERROR(H38/G38-1,"nm")</f>
        <v>nm</v>
      </c>
      <c r="I39" s="45">
        <f>+IFERROR(I38/H38-1,"nm")</f>
        <v>-4.6153846153846101E-2</v>
      </c>
      <c r="J39" s="45">
        <f t="shared" ref="J39" si="106">+IFERROR(J38/I38-1,"nm")</f>
        <v>2.2204460492503131E-16</v>
      </c>
      <c r="K39" s="45">
        <f t="shared" ref="K39" si="107">+IFERROR(K38/J38-1,"nm")</f>
        <v>0</v>
      </c>
      <c r="L39" s="45">
        <f t="shared" ref="L39" si="108">+IFERROR(L38/K38-1,"nm")</f>
        <v>0</v>
      </c>
      <c r="M39" s="45">
        <f t="shared" ref="M39" si="109">+IFERROR(M38/L38-1,"nm")</f>
        <v>0</v>
      </c>
      <c r="N39" s="45">
        <f t="shared" ref="N39" si="110">+IFERROR(N38/M38-1,"nm")</f>
        <v>0</v>
      </c>
    </row>
    <row r="40" spans="1:14" x14ac:dyDescent="0.3">
      <c r="A40" s="44" t="s">
        <v>133</v>
      </c>
      <c r="B40" s="45" t="str">
        <f t="shared" ref="B40:H40" si="111">+IFERROR(B38/B$21,"nm")</f>
        <v>nm</v>
      </c>
      <c r="C40" s="45" t="str">
        <f t="shared" si="111"/>
        <v>nm</v>
      </c>
      <c r="D40" s="45" t="str">
        <f t="shared" si="111"/>
        <v>nm</v>
      </c>
      <c r="E40" s="45" t="str">
        <f t="shared" si="111"/>
        <v>nm</v>
      </c>
      <c r="F40" s="45" t="str">
        <f t="shared" si="111"/>
        <v>nm</v>
      </c>
      <c r="G40" s="45" t="str">
        <f t="shared" si="111"/>
        <v>nm</v>
      </c>
      <c r="H40" s="45">
        <f t="shared" si="111"/>
        <v>7.5673787764130628E-3</v>
      </c>
      <c r="I40" s="45">
        <f>+IFERROR(I38/I$21,"nm")</f>
        <v>6.7563886013185855E-3</v>
      </c>
      <c r="J40" s="45">
        <f t="shared" ref="J40:N40" si="112">+IFERROR(J38/J$21,"nm")</f>
        <v>6.7563886013185864E-3</v>
      </c>
      <c r="K40" s="45">
        <f t="shared" si="112"/>
        <v>6.7563886013185864E-3</v>
      </c>
      <c r="L40" s="45">
        <f t="shared" si="112"/>
        <v>6.7563886013185864E-3</v>
      </c>
      <c r="M40" s="45">
        <f t="shared" si="112"/>
        <v>6.7563886013185864E-3</v>
      </c>
      <c r="N40" s="45">
        <f t="shared" si="112"/>
        <v>6.7563886013185864E-3</v>
      </c>
    </row>
    <row r="41" spans="1:14" x14ac:dyDescent="0.3">
      <c r="A41" s="44" t="s">
        <v>140</v>
      </c>
      <c r="B41" s="45" t="str">
        <f t="shared" ref="B41:H41" si="113">+IFERROR(B38/B48,"nm")</f>
        <v>nm</v>
      </c>
      <c r="C41" s="45" t="str">
        <f t="shared" si="113"/>
        <v>nm</v>
      </c>
      <c r="D41" s="45" t="str">
        <f t="shared" si="113"/>
        <v>nm</v>
      </c>
      <c r="E41" s="45" t="str">
        <f t="shared" si="113"/>
        <v>nm</v>
      </c>
      <c r="F41" s="45" t="str">
        <f t="shared" si="113"/>
        <v>nm</v>
      </c>
      <c r="G41" s="45" t="str">
        <f t="shared" si="113"/>
        <v>nm</v>
      </c>
      <c r="H41" s="45">
        <f t="shared" si="113"/>
        <v>0.21069692058346839</v>
      </c>
      <c r="I41" s="45">
        <f>+IFERROR(I38/I48,"nm")</f>
        <v>0.19405320813771518</v>
      </c>
      <c r="J41" s="47">
        <f>+I41</f>
        <v>0.19405320813771518</v>
      </c>
      <c r="K41" s="47">
        <f t="shared" ref="K41:N41" si="114">+J41</f>
        <v>0.19405320813771518</v>
      </c>
      <c r="L41" s="47">
        <f t="shared" si="114"/>
        <v>0.19405320813771518</v>
      </c>
      <c r="M41" s="47">
        <f t="shared" si="114"/>
        <v>0.19405320813771518</v>
      </c>
      <c r="N41" s="47">
        <f t="shared" si="114"/>
        <v>0.19405320813771518</v>
      </c>
    </row>
    <row r="42" spans="1:14" x14ac:dyDescent="0.3">
      <c r="A42" s="9" t="s">
        <v>134</v>
      </c>
      <c r="B42" s="9">
        <f>+Historicals!B134</f>
        <v>0</v>
      </c>
      <c r="C42" s="9">
        <f>+Historicals!C134</f>
        <v>0</v>
      </c>
      <c r="D42" s="9">
        <f>+Historicals!D134</f>
        <v>0</v>
      </c>
      <c r="E42" s="9">
        <f>+Historicals!E134</f>
        <v>0</v>
      </c>
      <c r="F42" s="9">
        <f>+Historicals!F134</f>
        <v>0</v>
      </c>
      <c r="G42" s="9">
        <f>+Historicals!G134</f>
        <v>0</v>
      </c>
      <c r="H42" s="9">
        <f>+Historicals!H134</f>
        <v>5089</v>
      </c>
      <c r="I42" s="9">
        <f>+Historicals!I134</f>
        <v>5114</v>
      </c>
      <c r="J42" s="9">
        <f>+J35-J38</f>
        <v>5114</v>
      </c>
      <c r="K42" s="9">
        <f t="shared" ref="K42:N42" si="115">+K35-K38</f>
        <v>5114</v>
      </c>
      <c r="L42" s="9">
        <f t="shared" si="115"/>
        <v>5114</v>
      </c>
      <c r="M42" s="9">
        <f t="shared" si="115"/>
        <v>5114</v>
      </c>
      <c r="N42" s="9">
        <f t="shared" si="115"/>
        <v>5114</v>
      </c>
    </row>
    <row r="43" spans="1:14" x14ac:dyDescent="0.3">
      <c r="A43" s="44" t="s">
        <v>129</v>
      </c>
      <c r="B43" s="45" t="str">
        <f t="shared" ref="B43" si="116">+IFERROR(B42/A42-1,"nm")</f>
        <v>nm</v>
      </c>
      <c r="C43" s="45" t="str">
        <f t="shared" ref="C43" si="117">+IFERROR(C42/B42-1,"nm")</f>
        <v>nm</v>
      </c>
      <c r="D43" s="45" t="str">
        <f t="shared" ref="D43" si="118">+IFERROR(D42/C42-1,"nm")</f>
        <v>nm</v>
      </c>
      <c r="E43" s="45" t="str">
        <f t="shared" ref="E43" si="119">+IFERROR(E42/D42-1,"nm")</f>
        <v>nm</v>
      </c>
      <c r="F43" s="45" t="str">
        <f t="shared" ref="F43" si="120">+IFERROR(F42/E42-1,"nm")</f>
        <v>nm</v>
      </c>
      <c r="G43" s="45" t="str">
        <f t="shared" ref="G43" si="121">+IFERROR(G42/F42-1,"nm")</f>
        <v>nm</v>
      </c>
      <c r="H43" s="45" t="str">
        <f t="shared" ref="H43" si="122">+IFERROR(H42/G42-1,"nm")</f>
        <v>nm</v>
      </c>
      <c r="I43" s="45">
        <f>+IFERROR(I42/H42-1,"nm")</f>
        <v>4.9125564943997002E-3</v>
      </c>
      <c r="J43" s="45">
        <f t="shared" ref="J43:N43" si="123">+IFERROR(J42/I42-1,"nm")</f>
        <v>0</v>
      </c>
      <c r="K43" s="45">
        <f t="shared" si="123"/>
        <v>0</v>
      </c>
      <c r="L43" s="45">
        <f t="shared" si="123"/>
        <v>0</v>
      </c>
      <c r="M43" s="45">
        <f t="shared" si="123"/>
        <v>0</v>
      </c>
      <c r="N43" s="45">
        <f t="shared" si="123"/>
        <v>0</v>
      </c>
    </row>
    <row r="44" spans="1:14" x14ac:dyDescent="0.3">
      <c r="A44" s="44" t="s">
        <v>131</v>
      </c>
      <c r="B44" s="45" t="str">
        <f t="shared" ref="B44:H44" si="124">+IFERROR(B42/B$21,"nm")</f>
        <v>nm</v>
      </c>
      <c r="C44" s="45" t="str">
        <f t="shared" si="124"/>
        <v>nm</v>
      </c>
      <c r="D44" s="45" t="str">
        <f t="shared" si="124"/>
        <v>nm</v>
      </c>
      <c r="E44" s="45" t="str">
        <f t="shared" si="124"/>
        <v>nm</v>
      </c>
      <c r="F44" s="45" t="str">
        <f t="shared" si="124"/>
        <v>nm</v>
      </c>
      <c r="G44" s="45" t="str">
        <f t="shared" si="124"/>
        <v>nm</v>
      </c>
      <c r="H44" s="45">
        <f t="shared" si="124"/>
        <v>0.29623377379358518</v>
      </c>
      <c r="I44" s="45">
        <f>+IFERROR(I42/I$21,"nm")</f>
        <v>0.27864654279954232</v>
      </c>
      <c r="J44" s="45">
        <f t="shared" ref="J44:N44" si="125">+IFERROR(J42/J$21,"nm")</f>
        <v>0.27864654279954232</v>
      </c>
      <c r="K44" s="45">
        <f t="shared" si="125"/>
        <v>0.27864654279954232</v>
      </c>
      <c r="L44" s="45">
        <f t="shared" si="125"/>
        <v>0.27864654279954232</v>
      </c>
      <c r="M44" s="45">
        <f t="shared" si="125"/>
        <v>0.27864654279954232</v>
      </c>
      <c r="N44" s="45">
        <f t="shared" si="125"/>
        <v>0.27864654279954232</v>
      </c>
    </row>
    <row r="45" spans="1:14" x14ac:dyDescent="0.3">
      <c r="A45" s="9" t="s">
        <v>135</v>
      </c>
      <c r="B45" s="9">
        <f>+Historicals!B156</f>
        <v>0</v>
      </c>
      <c r="C45" s="9">
        <f>+Historicals!C156</f>
        <v>0</v>
      </c>
      <c r="D45" s="9">
        <f>+Historicals!D156</f>
        <v>0</v>
      </c>
      <c r="E45" s="9">
        <f>+Historicals!E156</f>
        <v>0</v>
      </c>
      <c r="F45" s="9">
        <f>+Historicals!F156</f>
        <v>0</v>
      </c>
      <c r="G45" s="9">
        <f>+Historicals!G156</f>
        <v>0</v>
      </c>
      <c r="H45" s="9">
        <f>+Historicals!H156</f>
        <v>98</v>
      </c>
      <c r="I45" s="9">
        <f>+Historicals!I156</f>
        <v>146</v>
      </c>
      <c r="J45" s="46">
        <f>+J21*J47</f>
        <v>146</v>
      </c>
      <c r="K45" s="46">
        <f t="shared" ref="K45:N45" si="126">+K21*K47</f>
        <v>146</v>
      </c>
      <c r="L45" s="46">
        <f t="shared" si="126"/>
        <v>146</v>
      </c>
      <c r="M45" s="46">
        <f t="shared" si="126"/>
        <v>146</v>
      </c>
      <c r="N45" s="46">
        <f t="shared" si="126"/>
        <v>146</v>
      </c>
    </row>
    <row r="46" spans="1:14" x14ac:dyDescent="0.3">
      <c r="A46" s="44" t="s">
        <v>129</v>
      </c>
      <c r="B46" s="45" t="str">
        <f t="shared" ref="B46" si="127">+IFERROR(B45/A45-1,"nm")</f>
        <v>nm</v>
      </c>
      <c r="C46" s="45" t="str">
        <f t="shared" ref="C46" si="128">+IFERROR(C45/B45-1,"nm")</f>
        <v>nm</v>
      </c>
      <c r="D46" s="45" t="str">
        <f t="shared" ref="D46" si="129">+IFERROR(D45/C45-1,"nm")</f>
        <v>nm</v>
      </c>
      <c r="E46" s="45" t="str">
        <f t="shared" ref="E46" si="130">+IFERROR(E45/D45-1,"nm")</f>
        <v>nm</v>
      </c>
      <c r="F46" s="45" t="str">
        <f t="shared" ref="F46" si="131">+IFERROR(F45/E45-1,"nm")</f>
        <v>nm</v>
      </c>
      <c r="G46" s="45" t="str">
        <f t="shared" ref="G46" si="132">+IFERROR(G45/F45-1,"nm")</f>
        <v>nm</v>
      </c>
      <c r="H46" s="45" t="str">
        <f t="shared" ref="H46" si="133">+IFERROR(H45/G45-1,"nm")</f>
        <v>nm</v>
      </c>
      <c r="I46" s="45">
        <f>+IFERROR(I45/H45-1,"nm")</f>
        <v>0.48979591836734704</v>
      </c>
      <c r="J46" s="45">
        <f t="shared" ref="J46" si="134">+IFERROR(J45/I45-1,"nm")</f>
        <v>0</v>
      </c>
      <c r="K46" s="45">
        <f t="shared" ref="K46" si="135">+IFERROR(K45/J45-1,"nm")</f>
        <v>0</v>
      </c>
      <c r="L46" s="45">
        <f t="shared" ref="L46" si="136">+IFERROR(L45/K45-1,"nm")</f>
        <v>0</v>
      </c>
      <c r="M46" s="45">
        <f t="shared" ref="M46" si="137">+IFERROR(M45/L45-1,"nm")</f>
        <v>0</v>
      </c>
      <c r="N46" s="45">
        <f t="shared" ref="N46" si="138">+IFERROR(N45/M45-1,"nm")</f>
        <v>0</v>
      </c>
    </row>
    <row r="47" spans="1:14" x14ac:dyDescent="0.3">
      <c r="A47" s="44" t="s">
        <v>133</v>
      </c>
      <c r="B47" s="45" t="str">
        <f t="shared" ref="B47:H47" si="139">+IFERROR(B45/B$21,"nm")</f>
        <v>nm</v>
      </c>
      <c r="C47" s="45" t="str">
        <f t="shared" si="139"/>
        <v>nm</v>
      </c>
      <c r="D47" s="45" t="str">
        <f t="shared" si="139"/>
        <v>nm</v>
      </c>
      <c r="E47" s="45" t="str">
        <f t="shared" si="139"/>
        <v>nm</v>
      </c>
      <c r="F47" s="45" t="str">
        <f t="shared" si="139"/>
        <v>nm</v>
      </c>
      <c r="G47" s="45" t="str">
        <f t="shared" si="139"/>
        <v>nm</v>
      </c>
      <c r="H47" s="45">
        <f t="shared" si="139"/>
        <v>5.7046393852960009E-3</v>
      </c>
      <c r="I47" s="45">
        <f>+IFERROR(I45/I$21,"nm")</f>
        <v>7.9551027080041418E-3</v>
      </c>
      <c r="J47" s="47">
        <f>+I47</f>
        <v>7.9551027080041418E-3</v>
      </c>
      <c r="K47" s="47">
        <f t="shared" ref="K47:N47" si="140">+J47</f>
        <v>7.9551027080041418E-3</v>
      </c>
      <c r="L47" s="47">
        <f t="shared" si="140"/>
        <v>7.9551027080041418E-3</v>
      </c>
      <c r="M47" s="47">
        <f t="shared" si="140"/>
        <v>7.9551027080041418E-3</v>
      </c>
      <c r="N47" s="47">
        <f t="shared" si="140"/>
        <v>7.9551027080041418E-3</v>
      </c>
    </row>
    <row r="48" spans="1:14" x14ac:dyDescent="0.3">
      <c r="A48" s="9" t="s">
        <v>141</v>
      </c>
      <c r="B48" s="9">
        <f>+Historicals!B145</f>
        <v>0</v>
      </c>
      <c r="C48" s="9">
        <f>+Historicals!C145</f>
        <v>0</v>
      </c>
      <c r="D48" s="9">
        <f>+Historicals!D145</f>
        <v>0</v>
      </c>
      <c r="E48" s="9">
        <f>+Historicals!E145</f>
        <v>0</v>
      </c>
      <c r="F48" s="9">
        <f>+Historicals!F145</f>
        <v>0</v>
      </c>
      <c r="G48" s="9">
        <f>+Historicals!G145</f>
        <v>0</v>
      </c>
      <c r="H48" s="9">
        <f>+Historicals!H145</f>
        <v>617</v>
      </c>
      <c r="I48" s="9">
        <f>+Historicals!I145</f>
        <v>639</v>
      </c>
      <c r="J48" s="46">
        <f>+J21*J50</f>
        <v>639.00000000000011</v>
      </c>
      <c r="K48" s="46">
        <f t="shared" ref="K48:N48" si="141">+K21*K50</f>
        <v>639.00000000000011</v>
      </c>
      <c r="L48" s="46">
        <f t="shared" si="141"/>
        <v>639.00000000000011</v>
      </c>
      <c r="M48" s="46">
        <f t="shared" si="141"/>
        <v>639.00000000000011</v>
      </c>
      <c r="N48" s="46">
        <f t="shared" si="141"/>
        <v>639.00000000000011</v>
      </c>
    </row>
    <row r="49" spans="1:14" x14ac:dyDescent="0.3">
      <c r="A49" s="44" t="s">
        <v>129</v>
      </c>
      <c r="B49" s="45" t="str">
        <f t="shared" ref="B49" si="142">+IFERROR(B48/A48-1,"nm")</f>
        <v>nm</v>
      </c>
      <c r="C49" s="45" t="str">
        <f t="shared" ref="C49" si="143">+IFERROR(C48/B48-1,"nm")</f>
        <v>nm</v>
      </c>
      <c r="D49" s="45" t="str">
        <f t="shared" ref="D49" si="144">+IFERROR(D48/C48-1,"nm")</f>
        <v>nm</v>
      </c>
      <c r="E49" s="45" t="str">
        <f t="shared" ref="E49" si="145">+IFERROR(E48/D48-1,"nm")</f>
        <v>nm</v>
      </c>
      <c r="F49" s="45" t="str">
        <f t="shared" ref="F49" si="146">+IFERROR(F48/E48-1,"nm")</f>
        <v>nm</v>
      </c>
      <c r="G49" s="45" t="str">
        <f t="shared" ref="G49" si="147">+IFERROR(G48/F48-1,"nm")</f>
        <v>nm</v>
      </c>
      <c r="H49" s="45" t="str">
        <f t="shared" ref="H49" si="148">+IFERROR(H48/G48-1,"nm")</f>
        <v>nm</v>
      </c>
      <c r="I49" s="45">
        <f>+IFERROR(I48/H48-1,"nm")</f>
        <v>3.5656401944894611E-2</v>
      </c>
      <c r="J49" s="45">
        <f>+J50+J51</f>
        <v>3.4817196098730456E-2</v>
      </c>
      <c r="K49" s="45">
        <f t="shared" ref="K49" si="149">+K50+K51</f>
        <v>3.4817196098730456E-2</v>
      </c>
      <c r="L49" s="45">
        <f t="shared" ref="L49" si="150">+L50+L51</f>
        <v>3.4817196098730456E-2</v>
      </c>
      <c r="M49" s="45">
        <f t="shared" ref="M49" si="151">+M50+M51</f>
        <v>3.4817196098730456E-2</v>
      </c>
      <c r="N49" s="45">
        <f t="shared" ref="N49" si="152">+N50+N51</f>
        <v>3.4817196098730456E-2</v>
      </c>
    </row>
    <row r="50" spans="1:14" x14ac:dyDescent="0.3">
      <c r="A50" s="44" t="s">
        <v>133</v>
      </c>
      <c r="B50" s="45" t="str">
        <f t="shared" ref="B50:H50" si="153">+IFERROR(B48/B$21,"nm")</f>
        <v>nm</v>
      </c>
      <c r="C50" s="45" t="str">
        <f t="shared" si="153"/>
        <v>nm</v>
      </c>
      <c r="D50" s="45" t="str">
        <f t="shared" si="153"/>
        <v>nm</v>
      </c>
      <c r="E50" s="45" t="str">
        <f t="shared" si="153"/>
        <v>nm</v>
      </c>
      <c r="F50" s="45" t="str">
        <f t="shared" si="153"/>
        <v>nm</v>
      </c>
      <c r="G50" s="45" t="str">
        <f t="shared" si="153"/>
        <v>nm</v>
      </c>
      <c r="H50" s="45">
        <f t="shared" si="153"/>
        <v>3.5915943884975841E-2</v>
      </c>
      <c r="I50" s="45">
        <f>+IFERROR(I48/I$21,"nm")</f>
        <v>3.4817196098730456E-2</v>
      </c>
      <c r="J50" s="47">
        <f>+I50</f>
        <v>3.4817196098730456E-2</v>
      </c>
      <c r="K50" s="47">
        <f t="shared" ref="K50:N50" si="154">+J50</f>
        <v>3.4817196098730456E-2</v>
      </c>
      <c r="L50" s="47">
        <f t="shared" si="154"/>
        <v>3.4817196098730456E-2</v>
      </c>
      <c r="M50" s="47">
        <f t="shared" si="154"/>
        <v>3.4817196098730456E-2</v>
      </c>
      <c r="N50" s="47">
        <f t="shared" si="154"/>
        <v>3.4817196098730456E-2</v>
      </c>
    </row>
    <row r="51" spans="1:14" x14ac:dyDescent="0.3">
      <c r="A51" s="41" t="str">
        <f>+Historicals!A111</f>
        <v>Europe, Middle East &amp; Africa</v>
      </c>
      <c r="B51" s="41"/>
      <c r="C51" s="41"/>
      <c r="D51" s="41"/>
      <c r="E51" s="41"/>
      <c r="F51" s="41"/>
      <c r="G51" s="41"/>
      <c r="H51" s="41"/>
      <c r="I51" s="41"/>
      <c r="J51" s="37"/>
      <c r="K51" s="37"/>
      <c r="L51" s="37"/>
      <c r="M51" s="37"/>
      <c r="N51" s="3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0"/>
  <sheetViews>
    <sheetView zoomScale="82" workbookViewId="0"/>
  </sheetViews>
  <sheetFormatPr defaultRowHeight="14.4" x14ac:dyDescent="0.3"/>
  <cols>
    <col min="1" max="1" width="48.77734375" customWidth="1"/>
    <col min="2" max="14" width="11.77734375" customWidth="1"/>
    <col min="15" max="15" width="52.5546875" customWidth="1"/>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62" t="s">
        <v>216</v>
      </c>
    </row>
    <row r="2" spans="1:15" x14ac:dyDescent="0.3">
      <c r="A2" s="38" t="s">
        <v>149</v>
      </c>
      <c r="B2" s="38"/>
      <c r="C2" s="38"/>
      <c r="D2" s="38"/>
      <c r="E2" s="38"/>
      <c r="F2" s="38"/>
      <c r="G2" s="38"/>
      <c r="H2" s="38"/>
      <c r="I2" s="38"/>
      <c r="J2" s="38"/>
      <c r="K2" s="38"/>
      <c r="L2" s="38"/>
      <c r="M2" s="38"/>
      <c r="N2" s="38"/>
    </row>
    <row r="3" spans="1:15" x14ac:dyDescent="0.3">
      <c r="A3" s="1" t="s">
        <v>136</v>
      </c>
      <c r="B3" s="9"/>
      <c r="C3" s="9"/>
      <c r="D3" s="9"/>
      <c r="E3" s="9"/>
      <c r="F3" s="9"/>
      <c r="G3" s="9"/>
      <c r="H3" s="9"/>
      <c r="I3" s="9"/>
      <c r="J3" s="9"/>
      <c r="K3" s="9"/>
      <c r="L3" s="9"/>
      <c r="M3" s="9"/>
      <c r="N3" s="9"/>
    </row>
    <row r="4" spans="1:15" x14ac:dyDescent="0.3">
      <c r="A4" s="40" t="s">
        <v>129</v>
      </c>
      <c r="B4" s="48"/>
      <c r="C4" s="48"/>
      <c r="D4" s="48"/>
      <c r="E4" s="48"/>
      <c r="F4" s="48"/>
      <c r="G4" s="48"/>
      <c r="H4" s="48"/>
      <c r="I4" s="48"/>
      <c r="J4" s="48"/>
      <c r="K4" s="48"/>
      <c r="L4" s="48"/>
      <c r="M4" s="48"/>
      <c r="N4" s="48"/>
    </row>
    <row r="5" spans="1:15" x14ac:dyDescent="0.3">
      <c r="A5" s="1" t="s">
        <v>150</v>
      </c>
      <c r="B5" s="9"/>
      <c r="C5" s="9"/>
      <c r="D5" s="9"/>
      <c r="E5" s="9"/>
      <c r="F5" s="9"/>
      <c r="G5" s="9"/>
      <c r="H5" s="9"/>
      <c r="I5" s="9"/>
      <c r="J5" s="9"/>
      <c r="K5" s="9"/>
      <c r="L5" s="9"/>
      <c r="M5" s="9"/>
      <c r="N5" s="9"/>
    </row>
    <row r="6" spans="1:15" x14ac:dyDescent="0.3">
      <c r="A6" s="49" t="s">
        <v>132</v>
      </c>
      <c r="B6" s="50"/>
      <c r="C6" s="50"/>
      <c r="D6" s="50"/>
      <c r="E6" s="50"/>
      <c r="F6" s="50"/>
      <c r="G6" s="50"/>
      <c r="H6" s="50"/>
      <c r="I6" s="50"/>
      <c r="J6" s="50"/>
      <c r="K6" s="50"/>
      <c r="L6" s="50"/>
      <c r="M6" s="50"/>
      <c r="N6" s="50"/>
    </row>
    <row r="7" spans="1:15" x14ac:dyDescent="0.3">
      <c r="A7" s="4" t="s">
        <v>134</v>
      </c>
      <c r="B7" s="5"/>
      <c r="C7" s="5"/>
      <c r="D7" s="5"/>
      <c r="E7" s="5"/>
      <c r="F7" s="5"/>
      <c r="G7" s="5"/>
      <c r="H7" s="5"/>
      <c r="I7" s="5"/>
      <c r="J7" s="5"/>
      <c r="K7" s="5"/>
      <c r="L7" s="5"/>
      <c r="M7" s="5"/>
      <c r="N7" s="5"/>
    </row>
    <row r="8" spans="1:15" x14ac:dyDescent="0.3">
      <c r="A8" s="40" t="s">
        <v>129</v>
      </c>
      <c r="B8" s="48"/>
      <c r="C8" s="48"/>
      <c r="D8" s="48"/>
      <c r="E8" s="48"/>
      <c r="F8" s="48"/>
      <c r="G8" s="48"/>
      <c r="H8" s="48"/>
      <c r="I8" s="48"/>
      <c r="J8" s="48"/>
      <c r="K8" s="48"/>
      <c r="L8" s="48"/>
      <c r="M8" s="48"/>
      <c r="N8" s="48"/>
    </row>
    <row r="9" spans="1:15" x14ac:dyDescent="0.3">
      <c r="A9" s="40" t="s">
        <v>131</v>
      </c>
      <c r="B9" s="48"/>
      <c r="C9" s="48"/>
      <c r="D9" s="48"/>
      <c r="E9" s="48"/>
      <c r="F9" s="48"/>
      <c r="G9" s="48"/>
      <c r="H9" s="48"/>
      <c r="I9" s="48"/>
      <c r="J9" s="48"/>
      <c r="K9" s="48"/>
      <c r="L9" s="48"/>
      <c r="M9" s="48"/>
      <c r="N9" s="48"/>
    </row>
    <row r="10" spans="1:15" x14ac:dyDescent="0.3">
      <c r="A10" s="2" t="s">
        <v>24</v>
      </c>
      <c r="B10" s="3"/>
      <c r="C10" s="3"/>
      <c r="D10" s="3"/>
      <c r="E10" s="3"/>
      <c r="F10" s="3"/>
      <c r="G10" s="3"/>
      <c r="H10" s="3"/>
      <c r="I10" s="3"/>
      <c r="J10" s="3"/>
      <c r="K10" s="3"/>
      <c r="L10" s="3"/>
      <c r="M10" s="3"/>
      <c r="N10" s="3"/>
    </row>
    <row r="11" spans="1:15" x14ac:dyDescent="0.3">
      <c r="A11" s="4" t="s">
        <v>151</v>
      </c>
      <c r="B11" s="5"/>
      <c r="C11" s="5"/>
      <c r="D11" s="5"/>
      <c r="E11" s="5"/>
      <c r="F11" s="5"/>
      <c r="G11" s="5"/>
      <c r="H11" s="5"/>
      <c r="I11" s="5"/>
      <c r="J11" s="5"/>
      <c r="K11" s="5"/>
      <c r="L11" s="5"/>
      <c r="M11" s="5"/>
      <c r="N11" s="5"/>
    </row>
    <row r="12" spans="1:15" x14ac:dyDescent="0.3">
      <c r="A12" t="s">
        <v>26</v>
      </c>
      <c r="B12" s="3"/>
      <c r="C12" s="3"/>
      <c r="D12" s="3"/>
      <c r="E12" s="3"/>
      <c r="F12" s="3"/>
      <c r="G12" s="3"/>
      <c r="H12" s="3"/>
      <c r="I12" s="3"/>
      <c r="J12" s="3"/>
      <c r="K12" s="3"/>
      <c r="L12" s="3"/>
      <c r="M12" s="3"/>
      <c r="N12" s="3"/>
    </row>
    <row r="13" spans="1:15" x14ac:dyDescent="0.3">
      <c r="A13" s="51" t="s">
        <v>152</v>
      </c>
      <c r="B13" s="52"/>
      <c r="C13" s="52"/>
      <c r="D13" s="52"/>
      <c r="E13" s="52"/>
      <c r="F13" s="52"/>
      <c r="G13" s="52"/>
      <c r="H13" s="52"/>
      <c r="I13" s="52"/>
      <c r="J13" s="53"/>
      <c r="K13" s="53"/>
      <c r="L13" s="53"/>
      <c r="M13" s="53"/>
      <c r="N13" s="53"/>
    </row>
    <row r="14" spans="1:15" ht="15" thickBot="1" x14ac:dyDescent="0.35">
      <c r="A14" s="6" t="s">
        <v>153</v>
      </c>
      <c r="B14" s="7"/>
      <c r="C14" s="7"/>
      <c r="D14" s="7"/>
      <c r="E14" s="7"/>
      <c r="F14" s="7"/>
      <c r="G14" s="7"/>
      <c r="H14" s="7"/>
      <c r="I14" s="7"/>
      <c r="J14" s="7"/>
      <c r="K14" s="7"/>
      <c r="L14" s="7"/>
      <c r="M14" s="7"/>
      <c r="N14" s="7"/>
    </row>
    <row r="15" spans="1:15" ht="15" thickTop="1" x14ac:dyDescent="0.3">
      <c r="A15" t="s">
        <v>154</v>
      </c>
      <c r="B15" s="3"/>
      <c r="C15" s="3"/>
      <c r="D15" s="3"/>
      <c r="E15" s="3"/>
      <c r="F15" s="3"/>
      <c r="G15" s="3"/>
      <c r="H15" s="3"/>
      <c r="I15" s="3"/>
      <c r="J15" s="3"/>
      <c r="K15" s="3"/>
      <c r="L15" s="3"/>
      <c r="M15" s="3"/>
      <c r="N15" s="3"/>
    </row>
    <row r="16" spans="1:15" x14ac:dyDescent="0.3">
      <c r="A16" t="s">
        <v>155</v>
      </c>
      <c r="B16" s="54"/>
      <c r="C16" s="54"/>
      <c r="D16" s="54"/>
      <c r="E16" s="54"/>
      <c r="F16" s="54"/>
      <c r="G16" s="54"/>
      <c r="H16" s="54"/>
      <c r="I16" s="54"/>
      <c r="J16" s="54"/>
      <c r="K16" s="54"/>
      <c r="L16" s="54"/>
      <c r="M16" s="54"/>
      <c r="N16" s="54"/>
    </row>
    <row r="17" spans="1:14" x14ac:dyDescent="0.3">
      <c r="A17" t="s">
        <v>156</v>
      </c>
      <c r="B17" s="54"/>
      <c r="C17" s="54"/>
      <c r="D17" s="54"/>
      <c r="E17" s="54"/>
      <c r="F17" s="54"/>
      <c r="G17" s="54"/>
      <c r="H17" s="54"/>
      <c r="I17" s="54"/>
      <c r="J17" s="54"/>
      <c r="K17" s="54"/>
      <c r="L17" s="54"/>
      <c r="M17" s="54"/>
      <c r="N17" s="54"/>
    </row>
    <row r="18" spans="1:14" x14ac:dyDescent="0.3">
      <c r="A18" s="51" t="s">
        <v>129</v>
      </c>
      <c r="B18" s="52"/>
      <c r="C18" s="52"/>
      <c r="D18" s="52"/>
      <c r="E18" s="52"/>
      <c r="F18" s="52"/>
      <c r="G18" s="52"/>
      <c r="H18" s="52"/>
      <c r="I18" s="52"/>
      <c r="J18" s="53"/>
      <c r="K18" s="53"/>
      <c r="L18" s="53"/>
      <c r="M18" s="53"/>
      <c r="N18" s="53"/>
    </row>
    <row r="19" spans="1:14" x14ac:dyDescent="0.3">
      <c r="A19" s="51" t="s">
        <v>157</v>
      </c>
      <c r="B19" s="52"/>
      <c r="C19" s="52"/>
      <c r="D19" s="52"/>
      <c r="E19" s="52"/>
      <c r="F19" s="52"/>
      <c r="G19" s="52"/>
      <c r="H19" s="52"/>
      <c r="I19" s="52"/>
      <c r="J19" s="52"/>
      <c r="K19" s="52"/>
      <c r="L19" s="52"/>
      <c r="M19" s="52"/>
      <c r="N19" s="52"/>
    </row>
    <row r="20" spans="1:14" x14ac:dyDescent="0.3">
      <c r="A20" s="55" t="s">
        <v>158</v>
      </c>
      <c r="B20" s="38"/>
      <c r="C20" s="38"/>
      <c r="D20" s="38"/>
      <c r="E20" s="38"/>
      <c r="F20" s="38"/>
      <c r="G20" s="38"/>
      <c r="H20" s="38"/>
      <c r="I20" s="38"/>
      <c r="J20" s="38"/>
      <c r="K20" s="38"/>
      <c r="L20" s="38"/>
      <c r="M20" s="38"/>
      <c r="N20" s="38"/>
    </row>
    <row r="21" spans="1:14" x14ac:dyDescent="0.3">
      <c r="A21" t="s">
        <v>159</v>
      </c>
      <c r="B21" s="3"/>
      <c r="C21" s="3"/>
      <c r="D21" s="3"/>
      <c r="E21" s="3"/>
      <c r="F21" s="3"/>
      <c r="G21" s="3"/>
      <c r="H21" s="3"/>
      <c r="I21" s="3"/>
      <c r="J21" s="3"/>
      <c r="K21" s="3"/>
      <c r="L21" s="3"/>
      <c r="M21" s="3"/>
      <c r="N21" s="3"/>
    </row>
    <row r="22" spans="1:14" x14ac:dyDescent="0.3">
      <c r="A22" t="s">
        <v>160</v>
      </c>
      <c r="B22" s="3"/>
      <c r="C22" s="3"/>
      <c r="D22" s="3"/>
      <c r="E22" s="3"/>
      <c r="F22" s="3"/>
      <c r="G22" s="3"/>
      <c r="H22" s="3"/>
      <c r="I22" s="3"/>
      <c r="J22" s="3"/>
      <c r="K22" s="3"/>
      <c r="L22" s="3"/>
      <c r="M22" s="3"/>
      <c r="N22" s="3"/>
    </row>
    <row r="23" spans="1:14" x14ac:dyDescent="0.3">
      <c r="A23" t="s">
        <v>161</v>
      </c>
      <c r="B23" s="3"/>
      <c r="C23" s="3"/>
      <c r="D23" s="3"/>
      <c r="E23" s="3"/>
      <c r="F23" s="3"/>
      <c r="G23" s="3"/>
      <c r="H23" s="3"/>
      <c r="I23" s="3"/>
      <c r="J23" s="3"/>
      <c r="K23" s="3"/>
      <c r="L23" s="3"/>
      <c r="M23" s="3"/>
      <c r="N23" s="3"/>
    </row>
    <row r="24" spans="1:14" x14ac:dyDescent="0.3">
      <c r="A24" s="51" t="s">
        <v>162</v>
      </c>
      <c r="B24" s="52"/>
      <c r="C24" s="52"/>
      <c r="D24" s="52"/>
      <c r="E24" s="52"/>
      <c r="F24" s="52"/>
      <c r="G24" s="52"/>
      <c r="H24" s="52"/>
      <c r="I24" s="52"/>
      <c r="J24" s="53"/>
      <c r="K24" s="53"/>
      <c r="L24" s="53"/>
      <c r="M24" s="53"/>
      <c r="N24" s="53"/>
    </row>
    <row r="25" spans="1:14" x14ac:dyDescent="0.3">
      <c r="A25" t="s">
        <v>163</v>
      </c>
      <c r="B25" s="3"/>
      <c r="C25" s="3"/>
      <c r="D25" s="3"/>
      <c r="E25" s="3"/>
      <c r="F25" s="3"/>
      <c r="G25" s="3"/>
      <c r="H25" s="3"/>
      <c r="I25" s="3"/>
      <c r="J25" s="3"/>
      <c r="K25" s="3"/>
      <c r="L25" s="3"/>
      <c r="M25" s="3"/>
      <c r="N25" s="3"/>
    </row>
    <row r="26" spans="1:14" x14ac:dyDescent="0.3">
      <c r="A26" t="s">
        <v>164</v>
      </c>
      <c r="B26" s="3"/>
      <c r="C26" s="3"/>
      <c r="D26" s="3"/>
      <c r="E26" s="3"/>
      <c r="F26" s="3"/>
      <c r="G26" s="3"/>
      <c r="H26" s="3"/>
      <c r="I26" s="3"/>
      <c r="J26" s="3"/>
      <c r="K26" s="3"/>
      <c r="L26" s="3"/>
      <c r="M26" s="3"/>
      <c r="N26" s="3"/>
    </row>
    <row r="27" spans="1:14" x14ac:dyDescent="0.3">
      <c r="A27" t="s">
        <v>165</v>
      </c>
      <c r="B27" s="3"/>
      <c r="C27" s="3"/>
      <c r="D27" s="3"/>
      <c r="E27" s="3"/>
      <c r="F27" s="3"/>
      <c r="G27" s="3"/>
      <c r="H27" s="3"/>
      <c r="I27" s="3"/>
      <c r="J27" s="3"/>
      <c r="K27" s="3"/>
      <c r="L27" s="3"/>
      <c r="M27" s="3"/>
      <c r="N27" s="3"/>
    </row>
    <row r="28" spans="1:14" x14ac:dyDescent="0.3">
      <c r="A28" t="s">
        <v>40</v>
      </c>
      <c r="B28" s="3"/>
      <c r="C28" s="3"/>
      <c r="D28" s="3"/>
      <c r="E28" s="3"/>
      <c r="F28" s="3"/>
      <c r="G28" s="3"/>
      <c r="H28" s="3"/>
      <c r="I28" s="3"/>
      <c r="J28" s="3"/>
      <c r="K28" s="3"/>
      <c r="L28" s="3"/>
      <c r="M28" s="3"/>
      <c r="N28" s="3"/>
    </row>
    <row r="29" spans="1:14" x14ac:dyDescent="0.3">
      <c r="A29" s="56" t="s">
        <v>38</v>
      </c>
      <c r="B29" s="3"/>
      <c r="C29" s="3"/>
      <c r="D29" s="3"/>
      <c r="E29" s="3"/>
      <c r="F29" s="3"/>
      <c r="G29" s="3"/>
      <c r="H29" s="3"/>
      <c r="I29" s="3"/>
      <c r="J29" s="3"/>
      <c r="K29" s="3"/>
      <c r="L29" s="3"/>
      <c r="M29" s="3"/>
      <c r="N29" s="3"/>
    </row>
    <row r="30" spans="1:14" x14ac:dyDescent="0.3">
      <c r="A30" t="s">
        <v>166</v>
      </c>
      <c r="B30" s="3"/>
      <c r="C30" s="3"/>
      <c r="D30" s="3"/>
      <c r="E30" s="3"/>
      <c r="F30" s="3"/>
      <c r="G30" s="3"/>
      <c r="H30" s="3"/>
      <c r="I30" s="3"/>
      <c r="J30" s="3"/>
      <c r="K30" s="3"/>
      <c r="L30" s="3"/>
      <c r="M30" s="3"/>
      <c r="N30" s="3"/>
    </row>
    <row r="31" spans="1:14" ht="15" thickBot="1" x14ac:dyDescent="0.35">
      <c r="A31" s="6" t="s">
        <v>167</v>
      </c>
      <c r="B31" s="7"/>
      <c r="C31" s="7"/>
      <c r="D31" s="7"/>
      <c r="E31" s="7"/>
      <c r="F31" s="7"/>
      <c r="G31" s="7"/>
      <c r="H31" s="7"/>
      <c r="I31" s="7"/>
      <c r="J31" s="7"/>
      <c r="K31" s="7"/>
      <c r="L31" s="7"/>
      <c r="M31" s="7"/>
      <c r="N31" s="7"/>
    </row>
    <row r="32" spans="1:14" ht="15" thickTop="1" x14ac:dyDescent="0.3">
      <c r="A32" t="s">
        <v>168</v>
      </c>
      <c r="B32" s="3"/>
      <c r="C32" s="3"/>
      <c r="D32" s="3"/>
      <c r="E32" s="3"/>
      <c r="F32" s="3"/>
      <c r="G32" s="3"/>
      <c r="H32" s="3"/>
      <c r="I32" s="3"/>
      <c r="J32" s="3"/>
      <c r="K32" s="3"/>
      <c r="L32" s="3"/>
      <c r="M32" s="3"/>
      <c r="N32" s="3"/>
    </row>
    <row r="33" spans="1:14" x14ac:dyDescent="0.3">
      <c r="A33" s="2" t="s">
        <v>45</v>
      </c>
      <c r="B33" s="3"/>
      <c r="C33" s="3"/>
      <c r="D33" s="3"/>
      <c r="E33" s="3"/>
      <c r="F33" s="3"/>
      <c r="G33" s="3"/>
      <c r="H33" s="3"/>
      <c r="I33" s="3"/>
      <c r="J33" s="3"/>
      <c r="K33" s="3"/>
      <c r="L33" s="3"/>
      <c r="M33" s="3"/>
      <c r="N33" s="3"/>
    </row>
    <row r="34" spans="1:14" x14ac:dyDescent="0.3">
      <c r="A34" s="2" t="s">
        <v>46</v>
      </c>
      <c r="B34" s="3"/>
      <c r="C34" s="3"/>
      <c r="D34" s="3"/>
      <c r="E34" s="3"/>
      <c r="F34" s="3"/>
      <c r="G34" s="3"/>
      <c r="H34" s="3"/>
      <c r="I34" s="3"/>
      <c r="J34" s="3"/>
      <c r="K34" s="3"/>
      <c r="L34" s="3"/>
      <c r="M34" s="3"/>
      <c r="N34" s="3"/>
    </row>
    <row r="35" spans="1:14" x14ac:dyDescent="0.3">
      <c r="A35" t="s">
        <v>169</v>
      </c>
      <c r="B35" s="3"/>
      <c r="C35" s="3"/>
      <c r="D35" s="3"/>
      <c r="E35" s="3"/>
      <c r="F35" s="3"/>
      <c r="G35" s="3"/>
      <c r="H35" s="3"/>
      <c r="I35" s="3"/>
      <c r="J35" s="3"/>
      <c r="K35" s="3"/>
      <c r="L35" s="3"/>
      <c r="M35" s="3"/>
      <c r="N35" s="3"/>
    </row>
    <row r="36" spans="1:14" x14ac:dyDescent="0.3">
      <c r="A36" t="s">
        <v>49</v>
      </c>
      <c r="B36" s="3"/>
      <c r="C36" s="3"/>
      <c r="D36" s="3"/>
      <c r="E36" s="3"/>
      <c r="F36" s="3"/>
      <c r="G36" s="3"/>
      <c r="H36" s="3"/>
      <c r="I36" s="3"/>
      <c r="J36" s="3"/>
      <c r="K36" s="3"/>
      <c r="L36" s="3"/>
      <c r="M36" s="3"/>
      <c r="N36" s="3"/>
    </row>
    <row r="37" spans="1:14" x14ac:dyDescent="0.3">
      <c r="A37" s="56" t="s">
        <v>50</v>
      </c>
      <c r="B37" s="3"/>
      <c r="C37" s="3"/>
      <c r="D37" s="3"/>
      <c r="E37" s="3"/>
      <c r="F37" s="3"/>
      <c r="G37" s="3"/>
      <c r="H37" s="3"/>
      <c r="I37" s="3"/>
      <c r="J37" s="3"/>
      <c r="K37" s="3"/>
      <c r="L37" s="3"/>
      <c r="M37" s="3"/>
      <c r="N37" s="3"/>
    </row>
    <row r="38" spans="1:14" x14ac:dyDescent="0.3">
      <c r="A38" t="s">
        <v>170</v>
      </c>
      <c r="B38" s="3"/>
      <c r="C38" s="3"/>
      <c r="D38" s="3"/>
      <c r="E38" s="3"/>
      <c r="F38" s="3"/>
      <c r="G38" s="3"/>
      <c r="H38" s="3"/>
      <c r="I38" s="3"/>
      <c r="J38" s="3"/>
      <c r="K38" s="3"/>
      <c r="L38" s="3"/>
      <c r="M38" s="3"/>
      <c r="N38" s="3"/>
    </row>
    <row r="39" spans="1:14" x14ac:dyDescent="0.3">
      <c r="A39" t="s">
        <v>171</v>
      </c>
      <c r="B39" s="3"/>
      <c r="C39" s="3"/>
      <c r="D39" s="3"/>
      <c r="E39" s="3"/>
      <c r="F39" s="3"/>
      <c r="G39" s="3"/>
      <c r="H39" s="3"/>
      <c r="I39" s="3"/>
      <c r="J39" s="3"/>
      <c r="K39" s="3"/>
      <c r="L39" s="3"/>
      <c r="M39" s="3"/>
      <c r="N39" s="3"/>
    </row>
    <row r="40" spans="1:14" x14ac:dyDescent="0.3">
      <c r="A40" s="2" t="s">
        <v>172</v>
      </c>
      <c r="B40" s="3"/>
      <c r="C40" s="3"/>
      <c r="D40" s="3"/>
      <c r="E40" s="3"/>
      <c r="F40" s="3"/>
      <c r="G40" s="3"/>
      <c r="H40" s="3"/>
      <c r="I40" s="3"/>
      <c r="J40" s="3"/>
      <c r="K40" s="3"/>
      <c r="L40" s="3"/>
      <c r="M40" s="3"/>
      <c r="N40" s="3"/>
    </row>
    <row r="41" spans="1:14" x14ac:dyDescent="0.3">
      <c r="A41" s="2" t="s">
        <v>173</v>
      </c>
      <c r="B41" s="3"/>
      <c r="C41" s="3"/>
      <c r="D41" s="3"/>
      <c r="E41" s="3"/>
      <c r="F41" s="3"/>
      <c r="G41" s="3"/>
      <c r="H41" s="3"/>
      <c r="I41" s="3"/>
      <c r="J41" s="3"/>
      <c r="K41" s="3"/>
      <c r="L41" s="3"/>
      <c r="M41" s="3"/>
      <c r="N41" s="3"/>
    </row>
    <row r="42" spans="1:14" x14ac:dyDescent="0.3">
      <c r="A42" s="2" t="s">
        <v>174</v>
      </c>
      <c r="B42" s="3"/>
      <c r="C42" s="3"/>
      <c r="D42" s="3"/>
      <c r="E42" s="3"/>
      <c r="F42" s="3"/>
      <c r="G42" s="3"/>
      <c r="H42" s="3"/>
      <c r="I42" s="3"/>
      <c r="J42" s="3"/>
      <c r="K42" s="3"/>
      <c r="L42" s="3"/>
      <c r="M42" s="3"/>
      <c r="N42" s="3"/>
    </row>
    <row r="43" spans="1:14" ht="15" thickBot="1" x14ac:dyDescent="0.35">
      <c r="A43" s="6" t="s">
        <v>175</v>
      </c>
      <c r="B43" s="7"/>
      <c r="C43" s="7"/>
      <c r="D43" s="7"/>
      <c r="E43" s="7"/>
      <c r="F43" s="7"/>
      <c r="G43" s="7"/>
      <c r="H43" s="7"/>
      <c r="I43" s="7"/>
      <c r="J43" s="7"/>
      <c r="K43" s="7"/>
      <c r="L43" s="7"/>
      <c r="M43" s="7"/>
      <c r="N43" s="7"/>
    </row>
    <row r="44" spans="1:14" s="1" customFormat="1" ht="15" thickTop="1" x14ac:dyDescent="0.3">
      <c r="A44" s="57" t="s">
        <v>176</v>
      </c>
      <c r="B44" s="57"/>
      <c r="C44" s="57"/>
      <c r="D44" s="57"/>
      <c r="E44" s="57"/>
      <c r="F44" s="57"/>
      <c r="G44" s="57"/>
      <c r="H44" s="57"/>
      <c r="I44" s="57"/>
      <c r="J44" s="57"/>
      <c r="K44" s="57"/>
      <c r="L44" s="57"/>
      <c r="M44" s="57"/>
      <c r="N44" s="57"/>
    </row>
    <row r="45" spans="1:14" x14ac:dyDescent="0.3">
      <c r="A45" s="55" t="s">
        <v>177</v>
      </c>
      <c r="B45" s="38"/>
      <c r="C45" s="38"/>
      <c r="D45" s="38"/>
      <c r="E45" s="38"/>
      <c r="F45" s="38"/>
      <c r="G45" s="38"/>
      <c r="H45" s="38"/>
      <c r="I45" s="38"/>
      <c r="J45" s="38"/>
      <c r="K45" s="38"/>
      <c r="L45" s="38"/>
      <c r="M45" s="38"/>
      <c r="N45" s="38"/>
    </row>
    <row r="46" spans="1:14" x14ac:dyDescent="0.3">
      <c r="A46" s="1" t="s">
        <v>134</v>
      </c>
      <c r="B46" s="9"/>
      <c r="C46" s="9"/>
      <c r="D46" s="9"/>
      <c r="E46" s="9"/>
      <c r="F46" s="9"/>
      <c r="G46" s="9"/>
      <c r="H46" s="9"/>
      <c r="I46" s="9"/>
      <c r="J46" s="9"/>
      <c r="K46" s="9"/>
      <c r="L46" s="9"/>
      <c r="M46" s="9"/>
      <c r="N46" s="9"/>
    </row>
    <row r="47" spans="1:14" x14ac:dyDescent="0.3">
      <c r="A47" t="s">
        <v>132</v>
      </c>
      <c r="B47" s="58"/>
      <c r="C47" s="58"/>
      <c r="D47" s="58"/>
      <c r="E47" s="58"/>
      <c r="F47" s="58"/>
      <c r="G47" s="58"/>
      <c r="H47" s="58"/>
      <c r="I47" s="58"/>
      <c r="J47" s="58"/>
      <c r="K47" s="58"/>
      <c r="L47" s="58"/>
      <c r="M47" s="58"/>
      <c r="N47" s="58"/>
    </row>
    <row r="48" spans="1:14" x14ac:dyDescent="0.3">
      <c r="A48" t="s">
        <v>178</v>
      </c>
      <c r="B48" s="3"/>
      <c r="C48" s="3"/>
      <c r="D48" s="3"/>
      <c r="E48" s="3"/>
      <c r="F48" s="3"/>
      <c r="G48" s="3"/>
      <c r="H48" s="3"/>
      <c r="I48" s="3"/>
      <c r="J48" s="3"/>
      <c r="K48" s="3"/>
      <c r="L48" s="3"/>
      <c r="M48" s="3"/>
      <c r="N48" s="3"/>
    </row>
    <row r="49" spans="1:14" x14ac:dyDescent="0.3">
      <c r="A49" s="1" t="s">
        <v>179</v>
      </c>
      <c r="B49" s="9"/>
      <c r="C49" s="9"/>
      <c r="D49" s="9"/>
      <c r="E49" s="9"/>
      <c r="F49" s="9"/>
      <c r="G49" s="9"/>
      <c r="H49" s="9"/>
      <c r="I49" s="9"/>
      <c r="J49" s="9"/>
      <c r="K49" s="9"/>
      <c r="L49" s="9"/>
      <c r="M49" s="9"/>
      <c r="N49" s="9"/>
    </row>
    <row r="50" spans="1:14" x14ac:dyDescent="0.3">
      <c r="A50" t="s">
        <v>180</v>
      </c>
      <c r="B50" s="3"/>
      <c r="C50" s="3"/>
      <c r="D50" s="3"/>
      <c r="E50" s="3"/>
      <c r="F50" s="3"/>
      <c r="G50" s="3"/>
      <c r="H50" s="3"/>
      <c r="I50" s="3"/>
      <c r="J50" s="3"/>
      <c r="K50" s="3"/>
      <c r="L50" s="3"/>
      <c r="M50" s="3"/>
      <c r="N50" s="3"/>
    </row>
    <row r="51" spans="1:14" x14ac:dyDescent="0.3">
      <c r="A51" t="s">
        <v>181</v>
      </c>
      <c r="B51" s="3"/>
      <c r="C51" s="3"/>
      <c r="D51" s="3"/>
      <c r="E51" s="3"/>
      <c r="F51" s="3"/>
      <c r="G51" s="3"/>
      <c r="H51" s="3"/>
      <c r="I51" s="3"/>
      <c r="J51" s="3"/>
      <c r="K51" s="3"/>
      <c r="L51" s="3"/>
      <c r="M51" s="3"/>
      <c r="N51" s="3"/>
    </row>
    <row r="52" spans="1:14" x14ac:dyDescent="0.3">
      <c r="A52" t="s">
        <v>135</v>
      </c>
      <c r="B52" s="3"/>
      <c r="C52" s="3"/>
      <c r="D52" s="3"/>
      <c r="E52" s="3"/>
      <c r="F52" s="3"/>
      <c r="G52" s="3"/>
      <c r="H52" s="3"/>
      <c r="I52" s="3"/>
      <c r="J52" s="3"/>
      <c r="K52" s="3"/>
      <c r="L52" s="3"/>
      <c r="M52" s="3"/>
      <c r="N52" s="3"/>
    </row>
    <row r="53" spans="1:14" x14ac:dyDescent="0.3">
      <c r="A53" s="1" t="s">
        <v>182</v>
      </c>
      <c r="B53" s="9"/>
      <c r="C53" s="9"/>
      <c r="D53" s="9"/>
      <c r="E53" s="9"/>
      <c r="F53" s="9"/>
      <c r="G53" s="9"/>
      <c r="H53" s="9"/>
      <c r="I53" s="9"/>
      <c r="J53" s="9"/>
      <c r="K53" s="9"/>
      <c r="L53" s="9"/>
      <c r="M53" s="9"/>
      <c r="N53" s="9"/>
    </row>
    <row r="54" spans="1:14" x14ac:dyDescent="0.3">
      <c r="A54" t="s">
        <v>183</v>
      </c>
      <c r="B54" s="3"/>
      <c r="C54" s="3"/>
      <c r="D54" s="3"/>
      <c r="E54" s="3"/>
      <c r="F54" s="3"/>
      <c r="G54" s="3"/>
      <c r="H54" s="3"/>
      <c r="I54" s="3"/>
      <c r="J54" s="3"/>
      <c r="K54" s="3"/>
      <c r="L54" s="3"/>
      <c r="M54" s="3"/>
      <c r="N54" s="3"/>
    </row>
    <row r="55" spans="1:14" x14ac:dyDescent="0.3">
      <c r="A55" s="26" t="s">
        <v>184</v>
      </c>
      <c r="B55" s="25"/>
      <c r="C55" s="25"/>
      <c r="D55" s="25"/>
      <c r="E55" s="25"/>
      <c r="F55" s="25"/>
      <c r="G55" s="25"/>
      <c r="H55" s="25"/>
      <c r="I55" s="25"/>
      <c r="J55" s="25"/>
      <c r="K55" s="25"/>
      <c r="L55" s="25"/>
      <c r="M55" s="25"/>
      <c r="N55" s="25"/>
    </row>
    <row r="56" spans="1:14" x14ac:dyDescent="0.3">
      <c r="A56" t="s">
        <v>185</v>
      </c>
      <c r="B56" s="3"/>
      <c r="C56" s="3"/>
      <c r="D56" s="3"/>
      <c r="E56" s="3"/>
      <c r="F56" s="3"/>
      <c r="G56" s="3"/>
      <c r="H56" s="3"/>
      <c r="I56" s="3"/>
      <c r="J56" s="3"/>
      <c r="K56" s="3"/>
      <c r="L56" s="3"/>
      <c r="M56" s="3"/>
      <c r="N56" s="3"/>
    </row>
    <row r="57" spans="1:14" x14ac:dyDescent="0.3">
      <c r="A57" t="s">
        <v>186</v>
      </c>
      <c r="B57" s="3"/>
      <c r="C57" s="3"/>
      <c r="D57" s="3"/>
      <c r="E57" s="3"/>
      <c r="F57" s="3"/>
      <c r="G57" s="3"/>
      <c r="H57" s="3"/>
      <c r="I57" s="3"/>
      <c r="J57" s="3"/>
      <c r="K57" s="3"/>
      <c r="L57" s="3"/>
      <c r="M57" s="3"/>
      <c r="N57" s="3"/>
    </row>
    <row r="58" spans="1:14" x14ac:dyDescent="0.3">
      <c r="A58" s="26" t="s">
        <v>187</v>
      </c>
      <c r="B58" s="25"/>
      <c r="C58" s="25"/>
      <c r="D58" s="25"/>
      <c r="E58" s="25"/>
      <c r="F58" s="25"/>
      <c r="G58" s="25"/>
      <c r="H58" s="25"/>
      <c r="I58" s="25"/>
      <c r="J58" s="25"/>
      <c r="K58" s="25"/>
      <c r="L58" s="25"/>
      <c r="M58" s="25"/>
      <c r="N58" s="25"/>
    </row>
    <row r="59" spans="1:14" x14ac:dyDescent="0.3">
      <c r="A59" t="s">
        <v>188</v>
      </c>
      <c r="B59" s="3"/>
      <c r="C59" s="3"/>
      <c r="D59" s="3"/>
      <c r="E59" s="3"/>
      <c r="F59" s="3"/>
      <c r="G59" s="3"/>
      <c r="H59" s="3"/>
      <c r="I59" s="3"/>
      <c r="J59" s="3"/>
      <c r="K59" s="61"/>
      <c r="L59" s="61"/>
      <c r="M59" s="61"/>
      <c r="N59" s="61"/>
    </row>
    <row r="60" spans="1:14" x14ac:dyDescent="0.3">
      <c r="A60" s="51" t="s">
        <v>129</v>
      </c>
      <c r="B60" s="52"/>
      <c r="C60" s="52"/>
      <c r="D60" s="52"/>
      <c r="E60" s="52"/>
      <c r="F60" s="52"/>
      <c r="G60" s="52"/>
      <c r="H60" s="52"/>
      <c r="I60" s="52"/>
      <c r="J60" s="52"/>
      <c r="K60" s="59"/>
      <c r="L60" s="59"/>
      <c r="M60" s="60"/>
      <c r="N60" s="60"/>
    </row>
    <row r="61" spans="1:14" x14ac:dyDescent="0.3">
      <c r="A61" t="s">
        <v>189</v>
      </c>
      <c r="B61" s="3"/>
      <c r="C61" s="3"/>
      <c r="D61" s="3"/>
      <c r="E61" s="3"/>
      <c r="F61" s="3"/>
      <c r="G61" s="3"/>
      <c r="H61" s="3"/>
      <c r="I61" s="3"/>
      <c r="J61" s="3"/>
      <c r="K61" s="3"/>
      <c r="L61" s="3"/>
      <c r="M61" s="3"/>
      <c r="N61" s="3"/>
    </row>
    <row r="62" spans="1:14" x14ac:dyDescent="0.3">
      <c r="A62" t="s">
        <v>190</v>
      </c>
      <c r="B62" s="3"/>
      <c r="C62" s="3"/>
      <c r="D62" s="3"/>
      <c r="E62" s="3"/>
      <c r="F62" s="3"/>
      <c r="G62" s="3"/>
      <c r="H62" s="3"/>
      <c r="I62" s="3"/>
      <c r="J62" s="3"/>
      <c r="K62" s="3"/>
      <c r="L62" s="3"/>
      <c r="M62" s="3"/>
      <c r="N62" s="3"/>
    </row>
    <row r="63" spans="1:14" x14ac:dyDescent="0.3">
      <c r="A63" t="s">
        <v>191</v>
      </c>
      <c r="B63" s="3"/>
      <c r="C63" s="3"/>
      <c r="D63" s="3"/>
      <c r="E63" s="3"/>
      <c r="F63" s="3"/>
      <c r="G63" s="3"/>
      <c r="H63" s="3"/>
      <c r="I63" s="3"/>
      <c r="J63" s="3"/>
      <c r="K63" s="3"/>
      <c r="L63" s="3"/>
      <c r="M63" s="3"/>
      <c r="N63" s="3"/>
    </row>
    <row r="64" spans="1:14" x14ac:dyDescent="0.3">
      <c r="A64" s="26" t="s">
        <v>192</v>
      </c>
      <c r="B64" s="25"/>
      <c r="C64" s="25"/>
      <c r="D64" s="25"/>
      <c r="E64" s="25"/>
      <c r="F64" s="25"/>
      <c r="G64" s="25"/>
      <c r="H64" s="25"/>
      <c r="I64" s="25"/>
      <c r="J64" s="25"/>
      <c r="K64" s="25"/>
      <c r="L64" s="25"/>
      <c r="M64" s="25"/>
      <c r="N64" s="25"/>
    </row>
    <row r="65" spans="1:14" x14ac:dyDescent="0.3">
      <c r="A65" t="s">
        <v>193</v>
      </c>
      <c r="B65" s="3"/>
      <c r="C65" s="3"/>
      <c r="D65" s="3"/>
      <c r="E65" s="3"/>
      <c r="F65" s="3"/>
      <c r="G65" s="3"/>
      <c r="H65" s="3"/>
      <c r="I65" s="3"/>
      <c r="J65" s="3"/>
      <c r="K65" s="3"/>
      <c r="L65" s="3"/>
      <c r="M65" s="3"/>
      <c r="N65" s="3"/>
    </row>
    <row r="66" spans="1:14" x14ac:dyDescent="0.3">
      <c r="A66" s="26" t="s">
        <v>194</v>
      </c>
      <c r="B66" s="25"/>
      <c r="C66" s="25"/>
      <c r="D66" s="25"/>
      <c r="E66" s="25"/>
      <c r="F66" s="25"/>
      <c r="G66" s="25"/>
      <c r="H66" s="25"/>
      <c r="I66" s="25"/>
      <c r="J66" s="25"/>
      <c r="K66" s="25"/>
      <c r="L66" s="25"/>
      <c r="M66" s="25"/>
      <c r="N66" s="25"/>
    </row>
    <row r="67" spans="1:14" x14ac:dyDescent="0.3">
      <c r="A67" t="s">
        <v>195</v>
      </c>
      <c r="B67" s="3"/>
      <c r="C67" s="3"/>
      <c r="D67" s="3"/>
      <c r="E67" s="3"/>
      <c r="F67" s="3"/>
      <c r="G67" s="3"/>
      <c r="H67" s="3"/>
      <c r="I67" s="3"/>
      <c r="J67" s="3"/>
      <c r="K67" s="3"/>
      <c r="L67" s="3"/>
      <c r="M67" s="3"/>
      <c r="N67" s="3"/>
    </row>
    <row r="68" spans="1:14" ht="15" thickBot="1" x14ac:dyDescent="0.35">
      <c r="A68" s="6" t="s">
        <v>196</v>
      </c>
      <c r="B68" s="7"/>
      <c r="C68" s="7"/>
      <c r="D68" s="7"/>
      <c r="E68" s="7"/>
      <c r="F68" s="7"/>
      <c r="G68" s="7"/>
      <c r="H68" s="7"/>
      <c r="I68" s="7"/>
      <c r="J68" s="7"/>
      <c r="K68" s="7"/>
      <c r="L68" s="7"/>
      <c r="M68" s="7"/>
      <c r="N68" s="7"/>
    </row>
    <row r="69" spans="1:14" ht="15" thickTop="1" x14ac:dyDescent="0.3">
      <c r="A69" s="57" t="s">
        <v>176</v>
      </c>
      <c r="B69" s="39"/>
      <c r="C69" s="39"/>
      <c r="D69" s="39"/>
      <c r="E69" s="39"/>
      <c r="F69" s="39"/>
      <c r="G69" s="39"/>
      <c r="H69" s="39"/>
      <c r="I69" s="39"/>
      <c r="J69" s="39"/>
      <c r="K69" s="39"/>
      <c r="L69" s="39"/>
      <c r="M69" s="39"/>
      <c r="N69" s="39"/>
    </row>
    <row r="70" spans="1:14" x14ac:dyDescent="0.3">
      <c r="A70" s="1" t="s">
        <v>197</v>
      </c>
      <c r="B70" s="46"/>
      <c r="C70" s="46"/>
      <c r="D70" s="46"/>
      <c r="E70" s="46"/>
      <c r="F70" s="46"/>
      <c r="G70" s="46"/>
      <c r="H70" s="46"/>
      <c r="I70" s="46"/>
      <c r="J70" s="46"/>
      <c r="K70" s="46"/>
      <c r="L70" s="46"/>
      <c r="M70" s="46"/>
      <c r="N70" s="4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8B036-D328-4E7F-B57E-CF0ADEF8B1BA}">
  <dimension ref="A1:L208"/>
  <sheetViews>
    <sheetView workbookViewId="0">
      <pane ySplit="1" topLeftCell="A2" activePane="bottomLeft" state="frozen"/>
      <selection activeCell="A163" sqref="A163"/>
      <selection pane="bottomLeft" activeCell="A8" sqref="A8"/>
    </sheetView>
  </sheetViews>
  <sheetFormatPr defaultColWidth="8.88671875" defaultRowHeight="14.4" x14ac:dyDescent="0.3"/>
  <cols>
    <col min="1" max="1" width="78.44140625" customWidth="1"/>
    <col min="2" max="7" width="9" bestFit="1" customWidth="1"/>
    <col min="8" max="8" width="10.44140625" bestFit="1" customWidth="1"/>
    <col min="9" max="9" width="10.77734375" bestFit="1" customWidth="1"/>
  </cols>
  <sheetData>
    <row r="1" spans="1:9" ht="60" customHeight="1" x14ac:dyDescent="0.3">
      <c r="A1" s="15" t="s">
        <v>116</v>
      </c>
      <c r="B1" s="16">
        <f t="shared" ref="B1:H1" si="0">+C1-1</f>
        <v>2015</v>
      </c>
      <c r="C1" s="16">
        <f t="shared" si="0"/>
        <v>2016</v>
      </c>
      <c r="D1" s="16">
        <f t="shared" si="0"/>
        <v>2017</v>
      </c>
      <c r="E1" s="16">
        <f t="shared" si="0"/>
        <v>2018</v>
      </c>
      <c r="F1" s="16">
        <f t="shared" si="0"/>
        <v>2019</v>
      </c>
      <c r="G1" s="16">
        <f t="shared" si="0"/>
        <v>2020</v>
      </c>
      <c r="H1" s="16">
        <f t="shared" si="0"/>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I4" si="1">+B2-B3</f>
        <v>14067</v>
      </c>
      <c r="C4" s="9">
        <f t="shared" si="1"/>
        <v>14971</v>
      </c>
      <c r="D4" s="9">
        <f t="shared" si="1"/>
        <v>15312</v>
      </c>
      <c r="E4" s="9">
        <f t="shared" si="1"/>
        <v>15956</v>
      </c>
      <c r="F4" s="9">
        <f t="shared" si="1"/>
        <v>17474</v>
      </c>
      <c r="G4" s="9">
        <f t="shared" si="1"/>
        <v>16241</v>
      </c>
      <c r="H4" s="9">
        <f t="shared" si="1"/>
        <v>19962</v>
      </c>
      <c r="I4" s="9">
        <f t="shared" si="1"/>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I7" si="2">+B5+B6</f>
        <v>9892</v>
      </c>
      <c r="C7" s="20">
        <f t="shared" si="2"/>
        <v>10469</v>
      </c>
      <c r="D7" s="20">
        <f t="shared" si="2"/>
        <v>10563</v>
      </c>
      <c r="E7" s="20">
        <f t="shared" si="2"/>
        <v>11511</v>
      </c>
      <c r="F7" s="20">
        <f t="shared" si="2"/>
        <v>12702</v>
      </c>
      <c r="G7" s="20">
        <f t="shared" si="2"/>
        <v>13126</v>
      </c>
      <c r="H7" s="20">
        <f t="shared" si="2"/>
        <v>13025</v>
      </c>
      <c r="I7" s="20">
        <f t="shared" si="2"/>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I10" si="3">+B4-B7-B8-B9</f>
        <v>4205</v>
      </c>
      <c r="C10" s="5">
        <f t="shared" si="3"/>
        <v>4623</v>
      </c>
      <c r="D10" s="5">
        <f t="shared" si="3"/>
        <v>4886</v>
      </c>
      <c r="E10" s="5">
        <f t="shared" si="3"/>
        <v>4325</v>
      </c>
      <c r="F10" s="5">
        <f t="shared" si="3"/>
        <v>4801</v>
      </c>
      <c r="G10" s="5">
        <f t="shared" si="3"/>
        <v>2887</v>
      </c>
      <c r="H10" s="5">
        <f t="shared" si="3"/>
        <v>6661</v>
      </c>
      <c r="I10" s="5">
        <f t="shared" si="3"/>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I12" si="4">+B10-B11</f>
        <v>3273</v>
      </c>
      <c r="C12" s="7">
        <f t="shared" si="4"/>
        <v>3760</v>
      </c>
      <c r="D12" s="7">
        <f t="shared" si="4"/>
        <v>4240</v>
      </c>
      <c r="E12" s="7">
        <f t="shared" si="4"/>
        <v>1933</v>
      </c>
      <c r="F12" s="7">
        <f t="shared" si="4"/>
        <v>4029</v>
      </c>
      <c r="G12" s="7">
        <f t="shared" si="4"/>
        <v>2539</v>
      </c>
      <c r="H12" s="7">
        <f t="shared" si="4"/>
        <v>5727</v>
      </c>
      <c r="I12" s="7">
        <f t="shared" si="4"/>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I20" si="5">+ROUND(((B12/B18)-B15),2)</f>
        <v>0</v>
      </c>
      <c r="C20" s="13">
        <f t="shared" si="5"/>
        <v>0</v>
      </c>
      <c r="D20" s="13">
        <f t="shared" si="5"/>
        <v>0</v>
      </c>
      <c r="E20" s="13">
        <f t="shared" si="5"/>
        <v>0</v>
      </c>
      <c r="F20" s="13">
        <f t="shared" si="5"/>
        <v>0</v>
      </c>
      <c r="G20" s="13">
        <f t="shared" si="5"/>
        <v>0</v>
      </c>
      <c r="H20" s="13">
        <f t="shared" si="5"/>
        <v>0</v>
      </c>
      <c r="I20" s="13">
        <f t="shared" si="5"/>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I30" si="6">+SUM(B25:B29)</f>
        <v>15587</v>
      </c>
      <c r="C30" s="5">
        <f t="shared" si="6"/>
        <v>15025</v>
      </c>
      <c r="D30" s="5">
        <f t="shared" si="6"/>
        <v>16061</v>
      </c>
      <c r="E30" s="5">
        <f t="shared" si="6"/>
        <v>15134</v>
      </c>
      <c r="F30" s="5">
        <f t="shared" si="6"/>
        <v>16525</v>
      </c>
      <c r="G30" s="5">
        <f t="shared" si="6"/>
        <v>20556</v>
      </c>
      <c r="H30" s="5">
        <f t="shared" si="6"/>
        <v>26291</v>
      </c>
      <c r="I30" s="5">
        <f t="shared" si="6"/>
        <v>28213</v>
      </c>
    </row>
    <row r="31" spans="1:9" x14ac:dyDescent="0.3">
      <c r="A31" s="2" t="s">
        <v>37</v>
      </c>
      <c r="B31" s="3">
        <v>3011</v>
      </c>
      <c r="C31" s="3">
        <v>3520</v>
      </c>
      <c r="D31" s="3">
        <v>3989</v>
      </c>
      <c r="E31" s="3">
        <v>4454</v>
      </c>
      <c r="F31" s="3">
        <v>4744</v>
      </c>
      <c r="G31" s="3">
        <v>4886</v>
      </c>
      <c r="H31" s="3">
        <v>4904</v>
      </c>
      <c r="I31" s="3">
        <v>4791</v>
      </c>
    </row>
    <row r="32" spans="1:9" x14ac:dyDescent="0.3">
      <c r="A32" s="2" t="s">
        <v>38</v>
      </c>
      <c r="B32" s="3"/>
      <c r="C32" s="3"/>
      <c r="D32" s="3"/>
      <c r="E32" s="3"/>
      <c r="F32" s="3"/>
      <c r="G32" s="3">
        <v>3097</v>
      </c>
      <c r="H32" s="3">
        <v>3113</v>
      </c>
      <c r="I32" s="3">
        <v>2926</v>
      </c>
    </row>
    <row r="33" spans="1:9" x14ac:dyDescent="0.3">
      <c r="A33" s="2" t="s">
        <v>39</v>
      </c>
      <c r="B33" s="3">
        <v>280</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I36" si="7">+SUM(B30:B35)</f>
        <v>21596</v>
      </c>
      <c r="C36" s="7">
        <f t="shared" si="7"/>
        <v>21396</v>
      </c>
      <c r="D36" s="7">
        <f t="shared" si="7"/>
        <v>23259</v>
      </c>
      <c r="E36" s="7">
        <f t="shared" si="7"/>
        <v>22536</v>
      </c>
      <c r="F36" s="7">
        <f t="shared" si="7"/>
        <v>23717</v>
      </c>
      <c r="G36" s="7">
        <f t="shared" si="7"/>
        <v>31362</v>
      </c>
      <c r="H36" s="7">
        <f t="shared" si="7"/>
        <v>37740</v>
      </c>
      <c r="I36" s="7">
        <f t="shared" si="7"/>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c r="I44" s="3">
        <v>222</v>
      </c>
    </row>
    <row r="45" spans="1:9" x14ac:dyDescent="0.3">
      <c r="A45" s="4" t="s">
        <v>13</v>
      </c>
      <c r="B45" s="5">
        <f t="shared" ref="B45:I45" si="8">+SUM(B39:B44)</f>
        <v>6332</v>
      </c>
      <c r="C45" s="5">
        <f t="shared" si="8"/>
        <v>5358</v>
      </c>
      <c r="D45" s="5">
        <f t="shared" si="8"/>
        <v>5474</v>
      </c>
      <c r="E45" s="5">
        <f t="shared" si="8"/>
        <v>6040</v>
      </c>
      <c r="F45" s="5">
        <f t="shared" si="8"/>
        <v>7866</v>
      </c>
      <c r="G45" s="5">
        <f t="shared" si="8"/>
        <v>8284</v>
      </c>
      <c r="H45" s="5">
        <f t="shared" si="8"/>
        <v>9368</v>
      </c>
      <c r="I45" s="5">
        <f t="shared" si="8"/>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1479</v>
      </c>
      <c r="C47" s="3">
        <v>1770</v>
      </c>
      <c r="D47" s="3">
        <v>1907</v>
      </c>
      <c r="E47" s="3">
        <v>3216</v>
      </c>
      <c r="F47" s="3"/>
      <c r="G47" s="3">
        <v>2913</v>
      </c>
      <c r="H47" s="3">
        <v>2931</v>
      </c>
      <c r="I47" s="3">
        <v>2777</v>
      </c>
    </row>
    <row r="48" spans="1:9" x14ac:dyDescent="0.3">
      <c r="A48" s="2" t="s">
        <v>51</v>
      </c>
      <c r="B48" s="3"/>
      <c r="C48" s="3"/>
      <c r="D48" s="3"/>
      <c r="E48" s="3"/>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c r="C50" s="3"/>
      <c r="D50" s="3"/>
      <c r="E50" s="3"/>
      <c r="F50" s="3"/>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c r="C53" s="3"/>
      <c r="D53" s="3"/>
      <c r="E53" s="3"/>
      <c r="F53" s="3"/>
      <c r="G53" s="3"/>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5710</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6907</v>
      </c>
      <c r="E57" s="3">
        <v>3517</v>
      </c>
      <c r="F57" s="3">
        <v>1643</v>
      </c>
      <c r="G57" s="3">
        <v>-191</v>
      </c>
      <c r="H57" s="3">
        <v>3179</v>
      </c>
      <c r="I57" s="3">
        <v>3476</v>
      </c>
    </row>
    <row r="58" spans="1:9" x14ac:dyDescent="0.3">
      <c r="A58" s="4" t="s">
        <v>61</v>
      </c>
      <c r="B58" s="5">
        <f t="shared" ref="B58:I58" si="9">+SUM(B53:B57)</f>
        <v>12707</v>
      </c>
      <c r="C58" s="5">
        <f t="shared" si="9"/>
        <v>12258</v>
      </c>
      <c r="D58" s="5">
        <f t="shared" si="9"/>
        <v>12407</v>
      </c>
      <c r="E58" s="5">
        <f t="shared" si="9"/>
        <v>9812</v>
      </c>
      <c r="F58" s="5">
        <f t="shared" si="9"/>
        <v>9040</v>
      </c>
      <c r="G58" s="5">
        <f t="shared" si="9"/>
        <v>8055</v>
      </c>
      <c r="H58" s="5">
        <f t="shared" si="9"/>
        <v>12767</v>
      </c>
      <c r="I58" s="5">
        <f t="shared" si="9"/>
        <v>15281</v>
      </c>
    </row>
    <row r="59" spans="1:9" ht="15" thickBot="1" x14ac:dyDescent="0.35">
      <c r="A59" s="6" t="s">
        <v>62</v>
      </c>
      <c r="B59" s="7">
        <f t="shared" ref="B59:I59" si="10">+SUM(B45:B50)+B58</f>
        <v>21597</v>
      </c>
      <c r="C59" s="7">
        <f t="shared" si="10"/>
        <v>21396</v>
      </c>
      <c r="D59" s="7">
        <f t="shared" si="10"/>
        <v>23259</v>
      </c>
      <c r="E59" s="7">
        <f t="shared" si="10"/>
        <v>22536</v>
      </c>
      <c r="F59" s="7">
        <f t="shared" si="10"/>
        <v>23717</v>
      </c>
      <c r="G59" s="7">
        <f t="shared" si="10"/>
        <v>31342</v>
      </c>
      <c r="H59" s="7">
        <f t="shared" si="10"/>
        <v>37434</v>
      </c>
      <c r="I59" s="7">
        <f t="shared" si="10"/>
        <v>40321</v>
      </c>
    </row>
    <row r="60" spans="1:9" s="12" customFormat="1" ht="15" thickTop="1" x14ac:dyDescent="0.3">
      <c r="A60" s="12" t="s">
        <v>3</v>
      </c>
      <c r="B60" s="13">
        <f t="shared" ref="B60:I60" si="11">+B59-B36</f>
        <v>1</v>
      </c>
      <c r="C60" s="13">
        <f t="shared" si="11"/>
        <v>0</v>
      </c>
      <c r="D60" s="13">
        <f t="shared" si="11"/>
        <v>0</v>
      </c>
      <c r="E60" s="13">
        <f t="shared" si="11"/>
        <v>0</v>
      </c>
      <c r="F60" s="13">
        <f t="shared" si="11"/>
        <v>0</v>
      </c>
      <c r="G60" s="13">
        <f t="shared" si="11"/>
        <v>-20</v>
      </c>
      <c r="H60" s="13">
        <f t="shared" si="11"/>
        <v>-306</v>
      </c>
      <c r="I60" s="13">
        <f t="shared" si="11"/>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v>3273</v>
      </c>
      <c r="C64" s="9">
        <v>3760</v>
      </c>
      <c r="D64" s="9">
        <v>4240</v>
      </c>
      <c r="E64" s="9">
        <v>1933</v>
      </c>
      <c r="F64" s="9">
        <v>4029</v>
      </c>
      <c r="G64" s="9">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x14ac:dyDescent="0.3">
      <c r="A74" s="11" t="s">
        <v>98</v>
      </c>
      <c r="B74" s="3">
        <v>-144</v>
      </c>
      <c r="C74" s="3">
        <v>-161</v>
      </c>
      <c r="D74" s="3">
        <v>-120</v>
      </c>
      <c r="E74" s="3">
        <v>35</v>
      </c>
      <c r="F74" s="3">
        <v>-203</v>
      </c>
      <c r="G74" s="3">
        <v>-654</v>
      </c>
      <c r="H74" s="3">
        <v>-182</v>
      </c>
      <c r="I74" s="3">
        <v>-845</v>
      </c>
    </row>
    <row r="75" spans="1:9" x14ac:dyDescent="0.3">
      <c r="A75" s="11" t="s">
        <v>97</v>
      </c>
      <c r="B75" s="3">
        <v>1237</v>
      </c>
      <c r="C75" s="3">
        <v>-889</v>
      </c>
      <c r="D75" s="3">
        <v>-158</v>
      </c>
      <c r="E75" s="3">
        <v>1515</v>
      </c>
      <c r="F75" s="3">
        <v>1525</v>
      </c>
      <c r="G75" s="3">
        <v>24</v>
      </c>
      <c r="H75" s="3">
        <v>1326</v>
      </c>
      <c r="I75" s="3">
        <v>1365</v>
      </c>
    </row>
    <row r="76" spans="1:9" x14ac:dyDescent="0.3">
      <c r="A76" s="24" t="s">
        <v>74</v>
      </c>
      <c r="B76" s="25">
        <f t="shared" ref="B76:I76" si="12">+SUM(B64:B75)</f>
        <v>4680</v>
      </c>
      <c r="C76" s="25">
        <f t="shared" si="12"/>
        <v>3096</v>
      </c>
      <c r="D76" s="25">
        <f t="shared" si="12"/>
        <v>3846</v>
      </c>
      <c r="E76" s="25">
        <f t="shared" si="12"/>
        <v>4955</v>
      </c>
      <c r="F76" s="25">
        <f t="shared" si="12"/>
        <v>5903</v>
      </c>
      <c r="G76" s="25">
        <f t="shared" si="12"/>
        <v>2485</v>
      </c>
      <c r="H76" s="25">
        <f t="shared" si="12"/>
        <v>6657</v>
      </c>
      <c r="I76" s="25">
        <f t="shared" si="12"/>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220</v>
      </c>
      <c r="B81" s="3">
        <v>-150</v>
      </c>
      <c r="C81" s="3">
        <v>150</v>
      </c>
      <c r="D81" s="3"/>
      <c r="E81" s="3"/>
      <c r="F81" s="3"/>
      <c r="G81" s="3"/>
      <c r="H81" s="3"/>
      <c r="I81" s="3"/>
    </row>
    <row r="82" spans="1:9" x14ac:dyDescent="0.3">
      <c r="A82" s="2" t="s">
        <v>14</v>
      </c>
      <c r="B82" s="3">
        <v>-963</v>
      </c>
      <c r="C82" s="3">
        <v>-1143</v>
      </c>
      <c r="D82" s="3">
        <v>-1105</v>
      </c>
      <c r="E82" s="3">
        <v>-1028</v>
      </c>
      <c r="F82" s="3">
        <v>-1119</v>
      </c>
      <c r="G82" s="3">
        <v>-1086</v>
      </c>
      <c r="H82" s="3">
        <v>-695</v>
      </c>
      <c r="I82" s="3">
        <v>-758</v>
      </c>
    </row>
    <row r="83" spans="1:9" x14ac:dyDescent="0.3">
      <c r="A83" s="2" t="s">
        <v>221</v>
      </c>
      <c r="B83" s="3">
        <v>3</v>
      </c>
      <c r="C83" s="3">
        <v>10</v>
      </c>
      <c r="D83" s="3">
        <v>13</v>
      </c>
      <c r="E83" s="3">
        <v>3</v>
      </c>
      <c r="F83" s="3"/>
      <c r="G83" s="3"/>
      <c r="H83" s="3"/>
      <c r="I83" s="3"/>
    </row>
    <row r="84" spans="1:9" x14ac:dyDescent="0.3">
      <c r="A84" s="2" t="s">
        <v>79</v>
      </c>
      <c r="B84" s="3"/>
      <c r="C84" s="3">
        <v>6</v>
      </c>
      <c r="D84" s="3">
        <v>-34</v>
      </c>
      <c r="E84" s="3">
        <v>-25</v>
      </c>
      <c r="F84" s="3">
        <v>5</v>
      </c>
      <c r="G84" s="3">
        <v>31</v>
      </c>
      <c r="H84" s="3">
        <v>171</v>
      </c>
      <c r="I84" s="3">
        <v>-19</v>
      </c>
    </row>
    <row r="85" spans="1:9" x14ac:dyDescent="0.3">
      <c r="A85" s="26" t="s">
        <v>80</v>
      </c>
      <c r="B85" s="25">
        <f t="shared" ref="B85:I85" si="13">+SUM(B78:B84)</f>
        <v>-175</v>
      </c>
      <c r="C85" s="25">
        <f t="shared" si="13"/>
        <v>-1034</v>
      </c>
      <c r="D85" s="25">
        <f t="shared" si="13"/>
        <v>-1008</v>
      </c>
      <c r="E85" s="25">
        <f t="shared" si="13"/>
        <v>276</v>
      </c>
      <c r="F85" s="25">
        <f t="shared" si="13"/>
        <v>-264</v>
      </c>
      <c r="G85" s="25">
        <f t="shared" si="13"/>
        <v>-1028</v>
      </c>
      <c r="H85" s="25">
        <f t="shared" si="13"/>
        <v>-3800</v>
      </c>
      <c r="I85" s="25">
        <f t="shared" si="13"/>
        <v>-1524</v>
      </c>
    </row>
    <row r="86" spans="1:9" x14ac:dyDescent="0.3">
      <c r="A86" s="1" t="s">
        <v>81</v>
      </c>
      <c r="B86" s="3"/>
      <c r="C86" s="3"/>
      <c r="D86" s="3"/>
      <c r="E86" s="3"/>
      <c r="F86" s="3"/>
      <c r="G86" s="3"/>
      <c r="H86" s="3"/>
      <c r="I86" s="3"/>
    </row>
    <row r="87" spans="1:9" x14ac:dyDescent="0.3">
      <c r="A87" s="2" t="s">
        <v>82</v>
      </c>
      <c r="B87" s="3"/>
      <c r="C87" s="3">
        <v>981</v>
      </c>
      <c r="D87" s="3">
        <v>1482</v>
      </c>
      <c r="E87" s="3"/>
      <c r="F87" s="3"/>
      <c r="G87" s="3">
        <v>6134</v>
      </c>
      <c r="H87" s="3">
        <v>0</v>
      </c>
      <c r="I87" s="3">
        <v>0</v>
      </c>
    </row>
    <row r="88" spans="1:9" x14ac:dyDescent="0.3">
      <c r="A88" s="2" t="s">
        <v>222</v>
      </c>
      <c r="B88" s="3">
        <v>-7</v>
      </c>
      <c r="C88" s="3">
        <v>-106</v>
      </c>
      <c r="D88" s="3">
        <v>-44</v>
      </c>
      <c r="E88" s="3">
        <v>-6</v>
      </c>
      <c r="F88" s="3"/>
      <c r="G88" s="3"/>
      <c r="H88" s="3"/>
      <c r="I88" s="3"/>
    </row>
    <row r="89" spans="1:9" x14ac:dyDescent="0.3">
      <c r="A89" s="2" t="s">
        <v>83</v>
      </c>
      <c r="B89" s="3">
        <v>-63</v>
      </c>
      <c r="C89" s="3">
        <v>-67</v>
      </c>
      <c r="D89" s="3">
        <v>327</v>
      </c>
      <c r="E89" s="3">
        <v>13</v>
      </c>
      <c r="F89" s="3">
        <v>-325</v>
      </c>
      <c r="G89" s="3">
        <v>49</v>
      </c>
      <c r="H89" s="3">
        <v>-52</v>
      </c>
      <c r="I89" s="3">
        <v>15</v>
      </c>
    </row>
    <row r="90" spans="1:9" x14ac:dyDescent="0.3">
      <c r="A90" s="2" t="s">
        <v>84</v>
      </c>
      <c r="B90" s="3">
        <v>-19</v>
      </c>
      <c r="C90" s="3">
        <v>-7</v>
      </c>
      <c r="D90" s="3">
        <v>-17</v>
      </c>
      <c r="E90" s="3">
        <v>-23</v>
      </c>
      <c r="F90" s="3"/>
      <c r="G90" s="3"/>
      <c r="H90" s="3">
        <v>-197</v>
      </c>
      <c r="I90" s="3">
        <v>0</v>
      </c>
    </row>
    <row r="91" spans="1:9" x14ac:dyDescent="0.3">
      <c r="A91" s="2" t="s">
        <v>85</v>
      </c>
      <c r="B91" s="3">
        <v>514</v>
      </c>
      <c r="C91" s="3">
        <v>507</v>
      </c>
      <c r="D91" s="3">
        <v>489</v>
      </c>
      <c r="E91" s="3">
        <v>733</v>
      </c>
      <c r="F91" s="3">
        <v>700</v>
      </c>
      <c r="G91" s="3">
        <v>885</v>
      </c>
      <c r="H91" s="3">
        <v>1172</v>
      </c>
      <c r="I91" s="3">
        <v>1151</v>
      </c>
    </row>
    <row r="92" spans="1:9" x14ac:dyDescent="0.3">
      <c r="A92" s="2" t="s">
        <v>223</v>
      </c>
      <c r="B92" s="3">
        <v>218</v>
      </c>
      <c r="C92" s="3">
        <v>281</v>
      </c>
      <c r="D92" s="3">
        <v>177</v>
      </c>
      <c r="E92" s="3"/>
      <c r="F92" s="3"/>
      <c r="G92" s="3"/>
      <c r="H92" s="3"/>
      <c r="I92" s="3"/>
    </row>
    <row r="93" spans="1:9" x14ac:dyDescent="0.3">
      <c r="A93" s="2" t="s">
        <v>16</v>
      </c>
      <c r="B93" s="3">
        <v>218</v>
      </c>
      <c r="C93" s="3">
        <v>-3238</v>
      </c>
      <c r="D93" s="3">
        <v>-3223</v>
      </c>
      <c r="E93" s="3">
        <v>-4254</v>
      </c>
      <c r="F93" s="3">
        <v>-4286</v>
      </c>
      <c r="G93" s="3">
        <v>-3067</v>
      </c>
      <c r="H93" s="3">
        <v>-608</v>
      </c>
      <c r="I93" s="3">
        <v>-4014</v>
      </c>
    </row>
    <row r="94" spans="1:9" x14ac:dyDescent="0.3">
      <c r="A94" s="2" t="s">
        <v>86</v>
      </c>
      <c r="B94" s="3">
        <v>-2534</v>
      </c>
      <c r="C94" s="3">
        <v>-1022</v>
      </c>
      <c r="D94" s="3">
        <v>-1133</v>
      </c>
      <c r="E94" s="3">
        <v>-1243</v>
      </c>
      <c r="F94" s="3">
        <v>-1332</v>
      </c>
      <c r="G94" s="3">
        <v>-1452</v>
      </c>
      <c r="H94" s="3">
        <v>-1638</v>
      </c>
      <c r="I94" s="3">
        <v>-1837</v>
      </c>
    </row>
    <row r="95" spans="1:9" x14ac:dyDescent="0.3">
      <c r="A95" s="2" t="s">
        <v>87</v>
      </c>
      <c r="B95" s="3">
        <v>-899</v>
      </c>
      <c r="C95" s="3">
        <v>-22</v>
      </c>
      <c r="D95" s="3">
        <v>-29</v>
      </c>
      <c r="E95" s="3">
        <v>-55</v>
      </c>
      <c r="F95" s="3">
        <v>-50</v>
      </c>
      <c r="G95" s="3">
        <v>-58</v>
      </c>
      <c r="H95" s="3">
        <v>-136</v>
      </c>
      <c r="I95" s="3">
        <v>-151</v>
      </c>
    </row>
    <row r="96" spans="1:9" x14ac:dyDescent="0.3">
      <c r="A96" s="26" t="s">
        <v>88</v>
      </c>
      <c r="B96" s="25">
        <f t="shared" ref="B96:I96" si="14">+SUM(B87:B95)</f>
        <v>-2572</v>
      </c>
      <c r="C96" s="25">
        <f t="shared" si="14"/>
        <v>-2693</v>
      </c>
      <c r="D96" s="25">
        <f t="shared" si="14"/>
        <v>-1971</v>
      </c>
      <c r="E96" s="25">
        <f t="shared" si="14"/>
        <v>-4835</v>
      </c>
      <c r="F96" s="25">
        <f t="shared" si="14"/>
        <v>-5293</v>
      </c>
      <c r="G96" s="25">
        <f t="shared" si="14"/>
        <v>2491</v>
      </c>
      <c r="H96" s="25">
        <f t="shared" si="14"/>
        <v>-1459</v>
      </c>
      <c r="I96" s="25">
        <f t="shared" si="14"/>
        <v>-4836</v>
      </c>
    </row>
    <row r="97" spans="1:9" x14ac:dyDescent="0.3">
      <c r="A97" s="2" t="s">
        <v>89</v>
      </c>
      <c r="B97" s="3">
        <v>-83</v>
      </c>
      <c r="C97" s="3">
        <v>-105</v>
      </c>
      <c r="D97" s="3">
        <v>-20</v>
      </c>
      <c r="E97" s="3">
        <v>45</v>
      </c>
      <c r="F97" s="3">
        <v>-129</v>
      </c>
      <c r="G97" s="3">
        <v>-66</v>
      </c>
      <c r="H97" s="3">
        <v>143</v>
      </c>
      <c r="I97" s="3">
        <v>-143</v>
      </c>
    </row>
    <row r="98" spans="1:9" x14ac:dyDescent="0.3">
      <c r="A98" s="26" t="s">
        <v>90</v>
      </c>
      <c r="B98" s="25">
        <f t="shared" ref="B98:I98" si="15">+B76+B85+B96+B97</f>
        <v>1850</v>
      </c>
      <c r="C98" s="25">
        <f t="shared" si="15"/>
        <v>-736</v>
      </c>
      <c r="D98" s="25">
        <f t="shared" si="15"/>
        <v>847</v>
      </c>
      <c r="E98" s="25">
        <f t="shared" si="15"/>
        <v>441</v>
      </c>
      <c r="F98" s="25">
        <f t="shared" si="15"/>
        <v>217</v>
      </c>
      <c r="G98" s="25">
        <f t="shared" si="15"/>
        <v>3882</v>
      </c>
      <c r="H98" s="25">
        <f t="shared" si="15"/>
        <v>1541</v>
      </c>
      <c r="I98" s="25">
        <f t="shared" si="15"/>
        <v>-1315</v>
      </c>
    </row>
    <row r="99" spans="1:9" x14ac:dyDescent="0.3">
      <c r="A99" t="s">
        <v>91</v>
      </c>
      <c r="B99" s="3">
        <v>2220</v>
      </c>
      <c r="C99" s="3">
        <v>3852</v>
      </c>
      <c r="D99" s="3">
        <v>3138</v>
      </c>
      <c r="E99" s="3">
        <v>3808</v>
      </c>
      <c r="F99" s="3">
        <v>4249</v>
      </c>
      <c r="G99" s="3">
        <v>4466</v>
      </c>
      <c r="H99" s="3">
        <v>8348</v>
      </c>
      <c r="I99" s="3">
        <f>+H100</f>
        <v>9889</v>
      </c>
    </row>
    <row r="100" spans="1:9" ht="15" thickBot="1" x14ac:dyDescent="0.35">
      <c r="A100" s="6" t="s">
        <v>92</v>
      </c>
      <c r="B100" s="7">
        <v>3852</v>
      </c>
      <c r="C100" s="7">
        <v>3138</v>
      </c>
      <c r="D100" s="7">
        <v>3808</v>
      </c>
      <c r="E100" s="7">
        <v>4249</v>
      </c>
      <c r="F100" s="7">
        <v>4466</v>
      </c>
      <c r="G100" s="7">
        <v>8348</v>
      </c>
      <c r="H100" s="7">
        <f>+H98+H99</f>
        <v>9889</v>
      </c>
      <c r="I100" s="7">
        <f>+I98+I99</f>
        <v>8574</v>
      </c>
    </row>
    <row r="101" spans="1:9" s="12" customFormat="1" ht="15" thickTop="1" x14ac:dyDescent="0.3">
      <c r="A101" s="12" t="s">
        <v>19</v>
      </c>
      <c r="B101" s="13">
        <f t="shared" ref="B101:I101" si="16">+B100-B25</f>
        <v>0</v>
      </c>
      <c r="C101" s="13">
        <f t="shared" si="16"/>
        <v>0</v>
      </c>
      <c r="D101" s="13">
        <f t="shared" si="16"/>
        <v>0</v>
      </c>
      <c r="E101" s="13">
        <f t="shared" si="16"/>
        <v>0</v>
      </c>
      <c r="F101" s="13">
        <f t="shared" si="16"/>
        <v>0</v>
      </c>
      <c r="G101" s="13">
        <f t="shared" si="16"/>
        <v>0</v>
      </c>
      <c r="H101" s="13">
        <f t="shared" si="16"/>
        <v>0</v>
      </c>
      <c r="I101" s="13">
        <f t="shared" si="16"/>
        <v>0</v>
      </c>
    </row>
    <row r="102" spans="1:9" x14ac:dyDescent="0.3">
      <c r="A102" t="s">
        <v>93</v>
      </c>
      <c r="B102" s="3"/>
      <c r="C102" s="3"/>
      <c r="D102" s="3"/>
      <c r="E102" s="3"/>
      <c r="F102" s="3"/>
      <c r="G102" s="3"/>
      <c r="H102" s="3"/>
      <c r="I102" s="3"/>
    </row>
    <row r="103" spans="1:9" x14ac:dyDescent="0.3">
      <c r="A103" s="2" t="s">
        <v>17</v>
      </c>
      <c r="B103" s="3"/>
      <c r="C103" s="3"/>
      <c r="D103" s="3"/>
      <c r="E103" s="3"/>
      <c r="F103" s="3"/>
      <c r="G103" s="3"/>
      <c r="H103" s="3"/>
      <c r="I103" s="3"/>
    </row>
    <row r="104" spans="1:9" x14ac:dyDescent="0.3">
      <c r="A104" s="11" t="s">
        <v>94</v>
      </c>
      <c r="B104" s="65">
        <v>53</v>
      </c>
      <c r="C104" s="65">
        <v>70</v>
      </c>
      <c r="D104" s="65">
        <v>98</v>
      </c>
      <c r="E104" s="65">
        <v>125</v>
      </c>
      <c r="F104" s="65">
        <v>153</v>
      </c>
      <c r="G104" s="65">
        <v>140</v>
      </c>
      <c r="H104" s="3">
        <v>293</v>
      </c>
      <c r="I104" s="3">
        <v>290</v>
      </c>
    </row>
    <row r="105" spans="1:9" x14ac:dyDescent="0.3">
      <c r="A105" s="11" t="s">
        <v>18</v>
      </c>
      <c r="B105" s="65">
        <v>1262</v>
      </c>
      <c r="C105" s="65">
        <v>748</v>
      </c>
      <c r="D105" s="65">
        <v>703</v>
      </c>
      <c r="E105" s="65">
        <v>529</v>
      </c>
      <c r="F105" s="65">
        <v>757</v>
      </c>
      <c r="G105" s="65">
        <v>1028</v>
      </c>
      <c r="H105" s="3">
        <v>1177</v>
      </c>
      <c r="I105" s="3">
        <v>1231</v>
      </c>
    </row>
    <row r="106" spans="1:9" x14ac:dyDescent="0.3">
      <c r="A106" s="11" t="s">
        <v>95</v>
      </c>
      <c r="B106" s="65">
        <v>206</v>
      </c>
      <c r="C106" s="65">
        <v>252</v>
      </c>
      <c r="D106" s="65">
        <v>266</v>
      </c>
      <c r="E106" s="65">
        <v>294</v>
      </c>
      <c r="F106" s="65">
        <v>160</v>
      </c>
      <c r="G106" s="65">
        <v>121</v>
      </c>
      <c r="H106" s="3">
        <v>179</v>
      </c>
      <c r="I106" s="3">
        <v>160</v>
      </c>
    </row>
    <row r="107" spans="1:9" x14ac:dyDescent="0.3">
      <c r="A107" s="11" t="s">
        <v>96</v>
      </c>
      <c r="B107" s="65">
        <v>240</v>
      </c>
      <c r="C107" s="65">
        <v>271</v>
      </c>
      <c r="D107" s="65">
        <v>300</v>
      </c>
      <c r="E107" s="65">
        <v>320</v>
      </c>
      <c r="F107" s="65">
        <v>347</v>
      </c>
      <c r="G107" s="65">
        <v>385</v>
      </c>
      <c r="H107" s="3">
        <v>438</v>
      </c>
      <c r="I107" s="3">
        <v>480</v>
      </c>
    </row>
    <row r="109" spans="1:9" x14ac:dyDescent="0.3">
      <c r="A109" s="14" t="s">
        <v>99</v>
      </c>
      <c r="B109" s="14"/>
      <c r="C109" s="14"/>
      <c r="D109" s="14"/>
      <c r="E109" s="14"/>
      <c r="F109" s="14"/>
      <c r="G109" s="14"/>
      <c r="H109" s="14"/>
      <c r="I109" s="14"/>
    </row>
    <row r="110" spans="1:9" x14ac:dyDescent="0.3">
      <c r="A110" s="27" t="s">
        <v>109</v>
      </c>
      <c r="B110" s="3"/>
      <c r="C110" s="3"/>
      <c r="D110" s="3"/>
      <c r="E110" s="3"/>
      <c r="F110" s="3"/>
      <c r="G110" s="3"/>
      <c r="H110" s="3"/>
      <c r="I110" s="3"/>
    </row>
    <row r="111" spans="1:9" x14ac:dyDescent="0.3">
      <c r="A111" s="2" t="s">
        <v>100</v>
      </c>
      <c r="B111" s="3">
        <v>13740</v>
      </c>
      <c r="C111" s="3">
        <v>14764</v>
      </c>
      <c r="D111" s="3">
        <v>15216</v>
      </c>
      <c r="E111" s="3">
        <v>14855</v>
      </c>
      <c r="F111" s="3">
        <v>15902</v>
      </c>
      <c r="G111" s="3">
        <v>14484</v>
      </c>
      <c r="H111" s="3">
        <f>+SUM(H112:H114)</f>
        <v>17179</v>
      </c>
      <c r="I111" s="3">
        <f>+SUM(I112:I114)</f>
        <v>18353</v>
      </c>
    </row>
    <row r="112" spans="1:9" x14ac:dyDescent="0.3">
      <c r="A112" s="11" t="s">
        <v>113</v>
      </c>
      <c r="B112">
        <v>8506</v>
      </c>
      <c r="C112">
        <v>9299</v>
      </c>
      <c r="D112">
        <v>9684</v>
      </c>
      <c r="E112">
        <v>9322</v>
      </c>
      <c r="F112">
        <v>10045</v>
      </c>
      <c r="G112">
        <v>9329</v>
      </c>
      <c r="H112" s="8">
        <v>11644</v>
      </c>
      <c r="I112" s="8">
        <v>12228</v>
      </c>
    </row>
    <row r="113" spans="1:11" x14ac:dyDescent="0.3">
      <c r="A113" s="11" t="s">
        <v>114</v>
      </c>
      <c r="B113">
        <v>4410</v>
      </c>
      <c r="C113">
        <v>4746</v>
      </c>
      <c r="D113">
        <v>4886</v>
      </c>
      <c r="E113">
        <v>4938</v>
      </c>
      <c r="F113">
        <v>5260</v>
      </c>
      <c r="G113">
        <v>4639</v>
      </c>
      <c r="H113" s="8">
        <v>5028</v>
      </c>
      <c r="I113" s="8">
        <v>5492</v>
      </c>
    </row>
    <row r="114" spans="1:11" x14ac:dyDescent="0.3">
      <c r="A114" s="11" t="s">
        <v>115</v>
      </c>
      <c r="B114">
        <v>824</v>
      </c>
      <c r="C114">
        <v>719</v>
      </c>
      <c r="D114">
        <v>646</v>
      </c>
      <c r="E114">
        <v>595</v>
      </c>
      <c r="F114">
        <v>597</v>
      </c>
      <c r="G114">
        <v>516</v>
      </c>
      <c r="H114">
        <v>507</v>
      </c>
      <c r="I114">
        <v>633</v>
      </c>
    </row>
    <row r="115" spans="1:11" x14ac:dyDescent="0.3">
      <c r="A115" s="2" t="s">
        <v>101</v>
      </c>
      <c r="B115" s="3">
        <f>B116+B118+B117</f>
        <v>11024</v>
      </c>
      <c r="C115" s="3">
        <v>7568</v>
      </c>
      <c r="D115" s="3">
        <v>7970</v>
      </c>
      <c r="E115" s="3">
        <v>9242</v>
      </c>
      <c r="F115" s="3">
        <v>9812</v>
      </c>
      <c r="G115" s="3">
        <v>9347</v>
      </c>
      <c r="H115" s="3">
        <f>+SUM(H116:H118)</f>
        <v>11456</v>
      </c>
      <c r="I115" s="3">
        <f>+SUM(I116:I118)</f>
        <v>12479</v>
      </c>
    </row>
    <row r="116" spans="1:11" x14ac:dyDescent="0.3">
      <c r="A116" s="11" t="s">
        <v>113</v>
      </c>
      <c r="B116">
        <f>3876+827+2641</f>
        <v>7344</v>
      </c>
      <c r="C116">
        <v>5043</v>
      </c>
      <c r="D116">
        <v>5192</v>
      </c>
      <c r="E116">
        <v>5875</v>
      </c>
      <c r="F116">
        <v>6293</v>
      </c>
      <c r="G116">
        <v>5892</v>
      </c>
      <c r="H116" s="8">
        <v>6970</v>
      </c>
      <c r="I116" s="8">
        <v>7388</v>
      </c>
    </row>
    <row r="117" spans="1:11" x14ac:dyDescent="0.3">
      <c r="A117" s="11" t="s">
        <v>114</v>
      </c>
      <c r="B117">
        <f>1552+499+1021</f>
        <v>3072</v>
      </c>
      <c r="C117">
        <v>2149</v>
      </c>
      <c r="D117">
        <v>2395</v>
      </c>
      <c r="E117">
        <v>2940</v>
      </c>
      <c r="F117">
        <v>3087</v>
      </c>
      <c r="G117">
        <v>3053</v>
      </c>
      <c r="H117" s="8">
        <v>3996</v>
      </c>
      <c r="I117" s="8">
        <v>4527</v>
      </c>
    </row>
    <row r="118" spans="1:11" x14ac:dyDescent="0.3">
      <c r="A118" s="11" t="s">
        <v>115</v>
      </c>
      <c r="B118">
        <f>95+277+236</f>
        <v>608</v>
      </c>
      <c r="C118">
        <v>376</v>
      </c>
      <c r="D118">
        <v>383</v>
      </c>
      <c r="E118">
        <v>427</v>
      </c>
      <c r="F118">
        <v>432</v>
      </c>
      <c r="G118">
        <v>402</v>
      </c>
      <c r="H118">
        <v>490</v>
      </c>
      <c r="I118">
        <v>564</v>
      </c>
    </row>
    <row r="119" spans="1:11" x14ac:dyDescent="0.3">
      <c r="A119" s="2" t="s">
        <v>102</v>
      </c>
      <c r="B119" s="3">
        <v>3067</v>
      </c>
      <c r="C119" s="3">
        <v>3785</v>
      </c>
      <c r="D119" s="3">
        <v>4237</v>
      </c>
      <c r="E119" s="3">
        <v>5134</v>
      </c>
      <c r="F119" s="3">
        <v>6208</v>
      </c>
      <c r="G119" s="3">
        <v>6679</v>
      </c>
      <c r="H119" s="3">
        <f>+SUM(H120:H122)</f>
        <v>8290</v>
      </c>
      <c r="I119" s="3">
        <f>+SUM(I120:I122)</f>
        <v>7547</v>
      </c>
    </row>
    <row r="120" spans="1:11" x14ac:dyDescent="0.3">
      <c r="A120" s="11" t="s">
        <v>113</v>
      </c>
      <c r="B120">
        <v>2016</v>
      </c>
      <c r="C120">
        <v>2599</v>
      </c>
      <c r="D120">
        <v>2920</v>
      </c>
      <c r="E120">
        <v>3496</v>
      </c>
      <c r="F120">
        <v>4262</v>
      </c>
      <c r="G120">
        <v>4635</v>
      </c>
      <c r="H120" s="8">
        <v>5748</v>
      </c>
      <c r="I120" s="8">
        <v>5416</v>
      </c>
    </row>
    <row r="121" spans="1:11" x14ac:dyDescent="0.3">
      <c r="A121" s="11" t="s">
        <v>114</v>
      </c>
      <c r="B121">
        <v>925</v>
      </c>
      <c r="C121">
        <v>1055</v>
      </c>
      <c r="D121">
        <v>1188</v>
      </c>
      <c r="E121">
        <v>1508</v>
      </c>
      <c r="F121">
        <v>1808</v>
      </c>
      <c r="G121">
        <v>1896</v>
      </c>
      <c r="H121" s="8">
        <v>2347</v>
      </c>
      <c r="I121" s="8">
        <v>1938</v>
      </c>
    </row>
    <row r="122" spans="1:11" x14ac:dyDescent="0.3">
      <c r="A122" s="11" t="s">
        <v>115</v>
      </c>
      <c r="B122">
        <v>126</v>
      </c>
      <c r="C122">
        <v>131</v>
      </c>
      <c r="D122">
        <v>129</v>
      </c>
      <c r="E122">
        <v>130</v>
      </c>
      <c r="F122">
        <v>138</v>
      </c>
      <c r="G122">
        <v>148</v>
      </c>
      <c r="H122">
        <v>195</v>
      </c>
      <c r="I122">
        <v>193</v>
      </c>
    </row>
    <row r="123" spans="1:11" x14ac:dyDescent="0.3">
      <c r="A123" s="2" t="s">
        <v>106</v>
      </c>
      <c r="B123" s="3">
        <v>755</v>
      </c>
      <c r="C123" s="3">
        <v>4317</v>
      </c>
      <c r="D123" s="3">
        <v>4737</v>
      </c>
      <c r="E123" s="3">
        <v>5166</v>
      </c>
      <c r="F123" s="3">
        <v>5254</v>
      </c>
      <c r="G123" s="3">
        <v>5028</v>
      </c>
      <c r="H123" s="3">
        <f>+SUM(H124:H126)</f>
        <v>5343</v>
      </c>
      <c r="I123" s="3">
        <f>+SUM(I124:I126)</f>
        <v>5955</v>
      </c>
    </row>
    <row r="124" spans="1:11" x14ac:dyDescent="0.3">
      <c r="A124" s="11" t="s">
        <v>113</v>
      </c>
      <c r="B124">
        <v>452</v>
      </c>
      <c r="C124">
        <v>2930</v>
      </c>
      <c r="D124">
        <v>3285</v>
      </c>
      <c r="E124">
        <v>3575</v>
      </c>
      <c r="F124">
        <v>3622</v>
      </c>
      <c r="G124">
        <v>3449</v>
      </c>
      <c r="H124" s="8">
        <v>3659</v>
      </c>
      <c r="I124" s="8">
        <v>4111</v>
      </c>
    </row>
    <row r="125" spans="1:11" x14ac:dyDescent="0.3">
      <c r="A125" s="11" t="s">
        <v>114</v>
      </c>
      <c r="B125">
        <v>230</v>
      </c>
      <c r="C125">
        <v>1117</v>
      </c>
      <c r="D125">
        <v>1185</v>
      </c>
      <c r="E125">
        <v>1347</v>
      </c>
      <c r="F125">
        <v>1395</v>
      </c>
      <c r="G125">
        <v>1365</v>
      </c>
      <c r="H125" s="8">
        <v>1494</v>
      </c>
      <c r="I125" s="8">
        <v>1610</v>
      </c>
    </row>
    <row r="126" spans="1:11" x14ac:dyDescent="0.3">
      <c r="A126" s="11" t="s">
        <v>115</v>
      </c>
      <c r="B126">
        <v>73</v>
      </c>
      <c r="C126">
        <v>270</v>
      </c>
      <c r="D126">
        <v>267</v>
      </c>
      <c r="E126">
        <v>244</v>
      </c>
      <c r="F126">
        <v>237</v>
      </c>
      <c r="G126">
        <v>214</v>
      </c>
      <c r="H126">
        <v>190</v>
      </c>
      <c r="I126">
        <v>234</v>
      </c>
    </row>
    <row r="127" spans="1:11" x14ac:dyDescent="0.3">
      <c r="A127" s="2" t="s">
        <v>107</v>
      </c>
      <c r="B127" s="3">
        <v>115</v>
      </c>
      <c r="C127" s="3">
        <v>73</v>
      </c>
      <c r="D127" s="3">
        <v>73</v>
      </c>
      <c r="E127" s="3">
        <v>88</v>
      </c>
      <c r="F127" s="3">
        <v>42</v>
      </c>
      <c r="G127" s="3">
        <v>30</v>
      </c>
      <c r="H127" s="3">
        <v>25</v>
      </c>
      <c r="I127" s="3">
        <v>102</v>
      </c>
    </row>
    <row r="128" spans="1:11" x14ac:dyDescent="0.3">
      <c r="A128" s="4" t="s">
        <v>103</v>
      </c>
      <c r="B128" s="5">
        <f t="shared" ref="B128:I128" si="17">+B111+B115+B119+B123+B127</f>
        <v>28701</v>
      </c>
      <c r="C128" s="5">
        <f t="shared" si="17"/>
        <v>30507</v>
      </c>
      <c r="D128" s="5">
        <f t="shared" si="17"/>
        <v>32233</v>
      </c>
      <c r="E128" s="5">
        <f t="shared" si="17"/>
        <v>34485</v>
      </c>
      <c r="F128" s="5">
        <f t="shared" si="17"/>
        <v>37218</v>
      </c>
      <c r="G128" s="5">
        <f t="shared" si="17"/>
        <v>35568</v>
      </c>
      <c r="H128" s="5">
        <f t="shared" si="17"/>
        <v>42293</v>
      </c>
      <c r="I128" s="5">
        <f t="shared" si="17"/>
        <v>44436</v>
      </c>
      <c r="K128" s="66">
        <f>B129+B130+B132+B131-B134</f>
        <v>30807</v>
      </c>
    </row>
    <row r="129" spans="1:12" x14ac:dyDescent="0.3">
      <c r="A129" s="2" t="s">
        <v>104</v>
      </c>
      <c r="B129" s="65">
        <v>1982</v>
      </c>
      <c r="C129" s="65">
        <v>1955</v>
      </c>
      <c r="D129" s="65">
        <v>2042</v>
      </c>
      <c r="E129" s="65">
        <v>1886</v>
      </c>
      <c r="F129" s="65">
        <v>1906</v>
      </c>
      <c r="G129" s="65">
        <v>1846</v>
      </c>
      <c r="H129" s="3">
        <f>+SUM(H130:H133)</f>
        <v>2205</v>
      </c>
      <c r="I129" s="3">
        <f>+SUM(I130:I133)</f>
        <v>2346</v>
      </c>
    </row>
    <row r="130" spans="1:12" x14ac:dyDescent="0.3">
      <c r="A130" s="11" t="s">
        <v>113</v>
      </c>
      <c r="B130" s="3">
        <f t="shared" ref="B130:G130" si="18">B112+B116+B120+B124</f>
        <v>18318</v>
      </c>
      <c r="C130" s="3">
        <f t="shared" si="18"/>
        <v>19871</v>
      </c>
      <c r="D130" s="3">
        <f t="shared" si="18"/>
        <v>21081</v>
      </c>
      <c r="E130" s="3">
        <f t="shared" si="18"/>
        <v>22268</v>
      </c>
      <c r="F130" s="3">
        <f t="shared" si="18"/>
        <v>24222</v>
      </c>
      <c r="G130" s="3">
        <f t="shared" si="18"/>
        <v>23305</v>
      </c>
      <c r="H130" s="3">
        <v>1986</v>
      </c>
      <c r="I130" s="3">
        <v>2094</v>
      </c>
      <c r="L130" s="58"/>
    </row>
    <row r="131" spans="1:12" x14ac:dyDescent="0.3">
      <c r="A131" s="11" t="s">
        <v>114</v>
      </c>
      <c r="B131" s="3">
        <f>+B113+B117+B121+B125</f>
        <v>8637</v>
      </c>
      <c r="C131" s="3">
        <f>+C113+C117+C121+C125</f>
        <v>9067</v>
      </c>
      <c r="D131" s="3">
        <f>D113+D117+D121+D125</f>
        <v>9654</v>
      </c>
      <c r="E131" s="3">
        <f>E113+E117+E121+E125</f>
        <v>10733</v>
      </c>
      <c r="F131" s="3">
        <f>F113+F117+F121+F125</f>
        <v>11550</v>
      </c>
      <c r="G131" s="3">
        <f>G113+G117+G121+G125</f>
        <v>10953</v>
      </c>
      <c r="H131" s="3">
        <v>104</v>
      </c>
      <c r="I131" s="3">
        <v>103</v>
      </c>
    </row>
    <row r="132" spans="1:12" x14ac:dyDescent="0.3">
      <c r="A132" s="11" t="s">
        <v>115</v>
      </c>
      <c r="B132" s="3">
        <f>B114+B118+B122+B125</f>
        <v>1788</v>
      </c>
      <c r="C132" s="3">
        <f>C114+C118+C122+C126</f>
        <v>1496</v>
      </c>
      <c r="D132" s="3">
        <f>D114+D118+D122+D126</f>
        <v>1425</v>
      </c>
      <c r="E132" s="3">
        <f>E114+E118+E122+E126</f>
        <v>1396</v>
      </c>
      <c r="F132" s="3">
        <f>F114+F118+F122+F126</f>
        <v>1404</v>
      </c>
      <c r="G132" s="3">
        <f>+G114+G118+G122+G126</f>
        <v>1280</v>
      </c>
      <c r="H132" s="3">
        <v>29</v>
      </c>
      <c r="I132" s="3">
        <v>26</v>
      </c>
    </row>
    <row r="133" spans="1:12" x14ac:dyDescent="0.3">
      <c r="A133" s="11" t="s">
        <v>121</v>
      </c>
      <c r="B133" s="3">
        <v>0</v>
      </c>
      <c r="C133" s="3">
        <v>0</v>
      </c>
      <c r="D133" s="3">
        <v>0</v>
      </c>
      <c r="E133" s="3">
        <v>103</v>
      </c>
      <c r="F133" s="3">
        <v>106</v>
      </c>
      <c r="G133" s="3">
        <v>90</v>
      </c>
      <c r="H133" s="3">
        <v>86</v>
      </c>
      <c r="I133" s="3">
        <v>123</v>
      </c>
    </row>
    <row r="134" spans="1:12" x14ac:dyDescent="0.3">
      <c r="A134" s="2" t="s">
        <v>108</v>
      </c>
      <c r="B134" s="3">
        <v>-82</v>
      </c>
      <c r="C134" s="3">
        <v>-86</v>
      </c>
      <c r="D134" s="3">
        <v>75</v>
      </c>
      <c r="E134" s="3">
        <v>26</v>
      </c>
      <c r="F134" s="3">
        <v>-7</v>
      </c>
      <c r="G134" s="3">
        <v>-11</v>
      </c>
      <c r="H134" s="3">
        <v>40</v>
      </c>
      <c r="I134" s="3">
        <v>-72</v>
      </c>
    </row>
    <row r="135" spans="1:12" ht="15" thickBot="1" x14ac:dyDescent="0.35">
      <c r="A135" s="6" t="s">
        <v>105</v>
      </c>
      <c r="B135" s="7">
        <f t="shared" ref="B135:I135" si="19">+B128+B129+B134</f>
        <v>30601</v>
      </c>
      <c r="C135" s="7">
        <f t="shared" si="19"/>
        <v>32376</v>
      </c>
      <c r="D135" s="7">
        <f t="shared" si="19"/>
        <v>34350</v>
      </c>
      <c r="E135" s="7">
        <f t="shared" si="19"/>
        <v>36397</v>
      </c>
      <c r="F135" s="7">
        <f t="shared" si="19"/>
        <v>39117</v>
      </c>
      <c r="G135" s="7">
        <f t="shared" si="19"/>
        <v>37403</v>
      </c>
      <c r="H135" s="7">
        <f t="shared" si="19"/>
        <v>44538</v>
      </c>
      <c r="I135" s="7">
        <f t="shared" si="19"/>
        <v>46710</v>
      </c>
    </row>
    <row r="136" spans="1:12" s="12" customFormat="1" ht="15" thickTop="1" x14ac:dyDescent="0.3">
      <c r="A136" s="12" t="s">
        <v>111</v>
      </c>
      <c r="B136" s="13">
        <f>+I135-I2</f>
        <v>0</v>
      </c>
      <c r="C136" s="13">
        <f t="shared" ref="C136:I136" si="20">+C135-C2</f>
        <v>0</v>
      </c>
      <c r="D136" s="13">
        <f t="shared" si="20"/>
        <v>0</v>
      </c>
      <c r="E136" s="13">
        <f t="shared" si="20"/>
        <v>0</v>
      </c>
      <c r="F136" s="13">
        <f t="shared" si="20"/>
        <v>0</v>
      </c>
      <c r="G136" s="13">
        <f t="shared" si="20"/>
        <v>0</v>
      </c>
      <c r="H136" s="13">
        <f t="shared" si="20"/>
        <v>0</v>
      </c>
      <c r="I136" s="13">
        <f t="shared" si="20"/>
        <v>0</v>
      </c>
    </row>
    <row r="137" spans="1:12" x14ac:dyDescent="0.3">
      <c r="A137" s="1" t="s">
        <v>110</v>
      </c>
    </row>
    <row r="138" spans="1:12" x14ac:dyDescent="0.3">
      <c r="A138" s="2" t="s">
        <v>100</v>
      </c>
      <c r="B138" s="3">
        <v>3645</v>
      </c>
      <c r="C138" s="3">
        <v>3763</v>
      </c>
      <c r="D138" s="3">
        <v>3875</v>
      </c>
      <c r="E138" s="3">
        <v>3600</v>
      </c>
      <c r="F138" s="3">
        <v>3925</v>
      </c>
      <c r="G138" s="3">
        <v>2899</v>
      </c>
      <c r="H138" s="3">
        <v>5089</v>
      </c>
      <c r="I138" s="3">
        <v>5114</v>
      </c>
    </row>
    <row r="139" spans="1:12" x14ac:dyDescent="0.3">
      <c r="A139" s="2" t="s">
        <v>101</v>
      </c>
      <c r="B139" s="3">
        <f>1275+249+818</f>
        <v>2342</v>
      </c>
      <c r="C139" s="3">
        <v>1787</v>
      </c>
      <c r="D139" s="3">
        <v>1507</v>
      </c>
      <c r="E139" s="3">
        <v>1587</v>
      </c>
      <c r="F139" s="3">
        <v>1995</v>
      </c>
      <c r="G139" s="3">
        <v>1541</v>
      </c>
      <c r="H139" s="3">
        <v>2435</v>
      </c>
      <c r="I139" s="3">
        <v>3293</v>
      </c>
    </row>
    <row r="140" spans="1:12" x14ac:dyDescent="0.3">
      <c r="A140" s="2" t="s">
        <v>102</v>
      </c>
      <c r="B140" s="3">
        <v>993</v>
      </c>
      <c r="C140" s="3">
        <v>1372</v>
      </c>
      <c r="D140" s="3">
        <v>1507</v>
      </c>
      <c r="E140" s="3">
        <v>1807</v>
      </c>
      <c r="F140" s="3">
        <v>2376</v>
      </c>
      <c r="G140" s="3">
        <v>2490</v>
      </c>
      <c r="H140" s="3">
        <v>3243</v>
      </c>
      <c r="I140" s="3">
        <v>2365</v>
      </c>
    </row>
    <row r="141" spans="1:12" x14ac:dyDescent="0.3">
      <c r="A141" s="2" t="s">
        <v>106</v>
      </c>
      <c r="B141" s="3">
        <v>100</v>
      </c>
      <c r="C141" s="3">
        <v>1002</v>
      </c>
      <c r="D141" s="3">
        <v>980</v>
      </c>
      <c r="E141" s="3">
        <v>1189</v>
      </c>
      <c r="F141" s="3">
        <v>1323</v>
      </c>
      <c r="G141" s="3">
        <v>1184</v>
      </c>
      <c r="H141" s="3">
        <v>1530</v>
      </c>
      <c r="I141" s="3">
        <v>1896</v>
      </c>
    </row>
    <row r="142" spans="1:12" x14ac:dyDescent="0.3">
      <c r="A142" s="2" t="s">
        <v>107</v>
      </c>
      <c r="B142" s="3">
        <v>-2267</v>
      </c>
      <c r="C142" s="3">
        <v>-2596</v>
      </c>
      <c r="D142" s="3">
        <v>-2677</v>
      </c>
      <c r="E142" s="3">
        <v>-2658</v>
      </c>
      <c r="F142" s="3">
        <v>-3262</v>
      </c>
      <c r="G142" s="3">
        <v>-3468</v>
      </c>
      <c r="H142" s="3">
        <v>-3656</v>
      </c>
      <c r="I142" s="3">
        <v>-4262</v>
      </c>
    </row>
    <row r="143" spans="1:12" x14ac:dyDescent="0.3">
      <c r="A143" s="4" t="s">
        <v>103</v>
      </c>
      <c r="B143" s="5">
        <f t="shared" ref="B143:I143" si="21">+SUM(B138:B142)</f>
        <v>4813</v>
      </c>
      <c r="C143" s="5">
        <f t="shared" si="21"/>
        <v>5328</v>
      </c>
      <c r="D143" s="5">
        <f t="shared" si="21"/>
        <v>5192</v>
      </c>
      <c r="E143" s="5">
        <f t="shared" si="21"/>
        <v>5525</v>
      </c>
      <c r="F143" s="5">
        <f t="shared" si="21"/>
        <v>6357</v>
      </c>
      <c r="G143" s="5">
        <f t="shared" si="21"/>
        <v>4646</v>
      </c>
      <c r="H143" s="5">
        <f t="shared" si="21"/>
        <v>8641</v>
      </c>
      <c r="I143" s="5">
        <f t="shared" si="21"/>
        <v>8406</v>
      </c>
    </row>
    <row r="144" spans="1:12" x14ac:dyDescent="0.3">
      <c r="A144" s="2" t="s">
        <v>104</v>
      </c>
      <c r="B144" s="3">
        <v>517</v>
      </c>
      <c r="C144" s="3">
        <v>487</v>
      </c>
      <c r="D144" s="3">
        <v>477</v>
      </c>
      <c r="E144" s="3">
        <v>310</v>
      </c>
      <c r="F144" s="3">
        <v>303</v>
      </c>
      <c r="G144" s="3">
        <v>297</v>
      </c>
      <c r="H144" s="3">
        <v>543</v>
      </c>
      <c r="I144" s="3">
        <v>669</v>
      </c>
    </row>
    <row r="145" spans="1:9" x14ac:dyDescent="0.3">
      <c r="A145" s="2" t="s">
        <v>108</v>
      </c>
      <c r="B145" s="3">
        <v>-1097</v>
      </c>
      <c r="C145" s="3">
        <v>-1173</v>
      </c>
      <c r="D145" s="3">
        <v>-724</v>
      </c>
      <c r="E145" s="3">
        <v>-1456</v>
      </c>
      <c r="F145" s="3">
        <v>-1810</v>
      </c>
      <c r="G145" s="3">
        <v>-1967</v>
      </c>
      <c r="H145" s="3">
        <v>-2261</v>
      </c>
      <c r="I145" s="3">
        <v>-2219</v>
      </c>
    </row>
    <row r="146" spans="1:9" ht="15" thickBot="1" x14ac:dyDescent="0.35">
      <c r="A146" s="6" t="s">
        <v>112</v>
      </c>
      <c r="B146" s="7">
        <f t="shared" ref="B146:I146" si="22">+SUM(B143:B145)</f>
        <v>4233</v>
      </c>
      <c r="C146" s="7">
        <f t="shared" si="22"/>
        <v>4642</v>
      </c>
      <c r="D146" s="7">
        <f t="shared" si="22"/>
        <v>4945</v>
      </c>
      <c r="E146" s="7">
        <f t="shared" si="22"/>
        <v>4379</v>
      </c>
      <c r="F146" s="7">
        <f t="shared" si="22"/>
        <v>4850</v>
      </c>
      <c r="G146" s="7">
        <f t="shared" si="22"/>
        <v>2976</v>
      </c>
      <c r="H146" s="7">
        <f t="shared" si="22"/>
        <v>6923</v>
      </c>
      <c r="I146" s="7">
        <f t="shared" si="22"/>
        <v>6856</v>
      </c>
    </row>
    <row r="147" spans="1:9" s="12" customFormat="1" ht="15" thickTop="1" x14ac:dyDescent="0.3">
      <c r="A147" s="12" t="s">
        <v>111</v>
      </c>
      <c r="B147" s="13">
        <f t="shared" ref="B147:I147" si="23">+B146-B10-B8</f>
        <v>0</v>
      </c>
      <c r="C147" s="13">
        <f t="shared" si="23"/>
        <v>0</v>
      </c>
      <c r="D147" s="13">
        <f t="shared" si="23"/>
        <v>0</v>
      </c>
      <c r="E147" s="13">
        <f t="shared" si="23"/>
        <v>0</v>
      </c>
      <c r="F147" s="13">
        <f t="shared" si="23"/>
        <v>0</v>
      </c>
      <c r="G147" s="13">
        <f t="shared" si="23"/>
        <v>0</v>
      </c>
      <c r="H147" s="13">
        <f t="shared" si="23"/>
        <v>0</v>
      </c>
      <c r="I147" s="13">
        <f t="shared" si="23"/>
        <v>0</v>
      </c>
    </row>
    <row r="148" spans="1:9" x14ac:dyDescent="0.3">
      <c r="A148" s="1" t="s">
        <v>117</v>
      </c>
    </row>
    <row r="149" spans="1:9" x14ac:dyDescent="0.3">
      <c r="A149" s="2" t="s">
        <v>100</v>
      </c>
      <c r="B149" s="3">
        <v>632</v>
      </c>
      <c r="C149" s="3">
        <v>742</v>
      </c>
      <c r="D149" s="3">
        <v>819</v>
      </c>
      <c r="E149" s="3">
        <v>848</v>
      </c>
      <c r="F149" s="3">
        <v>814</v>
      </c>
      <c r="G149" s="3">
        <v>645</v>
      </c>
      <c r="H149" s="3">
        <v>617</v>
      </c>
      <c r="I149" s="3">
        <v>639</v>
      </c>
    </row>
    <row r="150" spans="1:9" x14ac:dyDescent="0.3">
      <c r="A150" s="2" t="s">
        <v>101</v>
      </c>
      <c r="B150" s="3">
        <f>451+47+103</f>
        <v>601</v>
      </c>
      <c r="C150" s="3">
        <f>589+50+109</f>
        <v>748</v>
      </c>
      <c r="D150" s="3">
        <v>709</v>
      </c>
      <c r="E150" s="3">
        <v>849</v>
      </c>
      <c r="F150" s="3">
        <v>929</v>
      </c>
      <c r="G150" s="3">
        <v>885</v>
      </c>
      <c r="H150" s="3">
        <v>982</v>
      </c>
      <c r="I150" s="3">
        <v>920</v>
      </c>
    </row>
    <row r="151" spans="1:9" x14ac:dyDescent="0.3">
      <c r="A151" s="2" t="s">
        <v>102</v>
      </c>
      <c r="B151" s="3">
        <v>254</v>
      </c>
      <c r="C151" s="3">
        <v>234</v>
      </c>
      <c r="D151" s="3">
        <v>225</v>
      </c>
      <c r="E151" s="3">
        <v>256</v>
      </c>
      <c r="F151" s="3">
        <v>237</v>
      </c>
      <c r="G151" s="3">
        <v>214</v>
      </c>
      <c r="H151" s="3">
        <v>288</v>
      </c>
      <c r="I151" s="3">
        <v>303</v>
      </c>
    </row>
    <row r="152" spans="1:9" x14ac:dyDescent="0.3">
      <c r="A152" s="2" t="s">
        <v>118</v>
      </c>
      <c r="B152" s="3">
        <v>205</v>
      </c>
      <c r="C152" s="3">
        <v>223</v>
      </c>
      <c r="D152" s="3">
        <v>340</v>
      </c>
      <c r="E152" s="3">
        <v>339</v>
      </c>
      <c r="F152" s="3">
        <v>326</v>
      </c>
      <c r="G152" s="3">
        <v>296</v>
      </c>
      <c r="H152" s="3">
        <v>304</v>
      </c>
      <c r="I152" s="3">
        <v>274</v>
      </c>
    </row>
    <row r="153" spans="1:9" x14ac:dyDescent="0.3">
      <c r="A153" s="2" t="s">
        <v>107</v>
      </c>
      <c r="B153" s="3">
        <v>484</v>
      </c>
      <c r="C153" s="3">
        <v>511</v>
      </c>
      <c r="D153" s="3">
        <v>533</v>
      </c>
      <c r="E153" s="3">
        <v>597</v>
      </c>
      <c r="F153" s="3">
        <v>665</v>
      </c>
      <c r="G153" s="3">
        <v>830</v>
      </c>
      <c r="H153" s="3">
        <v>780</v>
      </c>
      <c r="I153" s="3">
        <v>789</v>
      </c>
    </row>
    <row r="154" spans="1:9" x14ac:dyDescent="0.3">
      <c r="A154" s="4" t="s">
        <v>119</v>
      </c>
      <c r="B154" s="5">
        <f t="shared" ref="B154:I154" si="24">+SUM(B149:B153)</f>
        <v>2176</v>
      </c>
      <c r="C154" s="5">
        <f t="shared" si="24"/>
        <v>2458</v>
      </c>
      <c r="D154" s="5">
        <f t="shared" si="24"/>
        <v>2626</v>
      </c>
      <c r="E154" s="5">
        <f t="shared" si="24"/>
        <v>2889</v>
      </c>
      <c r="F154" s="5">
        <f t="shared" si="24"/>
        <v>2971</v>
      </c>
      <c r="G154" s="5">
        <f t="shared" si="24"/>
        <v>2870</v>
      </c>
      <c r="H154" s="5">
        <f t="shared" si="24"/>
        <v>2971</v>
      </c>
      <c r="I154" s="5">
        <f t="shared" si="24"/>
        <v>2925</v>
      </c>
    </row>
    <row r="155" spans="1:9" x14ac:dyDescent="0.3">
      <c r="A155" s="2" t="s">
        <v>104</v>
      </c>
      <c r="B155" s="3">
        <v>122</v>
      </c>
      <c r="C155" s="3">
        <v>125</v>
      </c>
      <c r="D155" s="3">
        <v>125</v>
      </c>
      <c r="E155" s="3">
        <v>115</v>
      </c>
      <c r="F155" s="3">
        <v>100</v>
      </c>
      <c r="G155" s="3">
        <v>80</v>
      </c>
      <c r="H155" s="3">
        <v>63</v>
      </c>
      <c r="I155" s="3">
        <v>49</v>
      </c>
    </row>
    <row r="156" spans="1:9" x14ac:dyDescent="0.3">
      <c r="A156" s="2" t="s">
        <v>108</v>
      </c>
      <c r="B156" s="3">
        <v>713</v>
      </c>
      <c r="C156" s="3">
        <v>937</v>
      </c>
      <c r="D156" s="3">
        <v>1238</v>
      </c>
      <c r="E156" s="3">
        <v>1450</v>
      </c>
      <c r="F156" s="3">
        <v>1673</v>
      </c>
      <c r="G156" s="3">
        <f>1916+20</f>
        <v>1936</v>
      </c>
      <c r="H156" s="3">
        <v>1870</v>
      </c>
      <c r="I156" s="3">
        <v>1817</v>
      </c>
    </row>
    <row r="157" spans="1:9" ht="15" thickBot="1" x14ac:dyDescent="0.35">
      <c r="A157" s="6" t="s">
        <v>120</v>
      </c>
      <c r="B157" s="7">
        <f t="shared" ref="B157:I157" si="25">+SUM(B154:B156)</f>
        <v>3011</v>
      </c>
      <c r="C157" s="7">
        <f t="shared" si="25"/>
        <v>3520</v>
      </c>
      <c r="D157" s="7">
        <f t="shared" si="25"/>
        <v>3989</v>
      </c>
      <c r="E157" s="7">
        <f t="shared" si="25"/>
        <v>4454</v>
      </c>
      <c r="F157" s="7">
        <f t="shared" si="25"/>
        <v>4744</v>
      </c>
      <c r="G157" s="7">
        <f t="shared" si="25"/>
        <v>4886</v>
      </c>
      <c r="H157" s="7">
        <f t="shared" si="25"/>
        <v>4904</v>
      </c>
      <c r="I157" s="7">
        <f t="shared" si="25"/>
        <v>4791</v>
      </c>
    </row>
    <row r="158" spans="1:9" ht="15" thickTop="1" x14ac:dyDescent="0.3">
      <c r="A158" s="12" t="s">
        <v>111</v>
      </c>
      <c r="B158" s="13">
        <f t="shared" ref="B158:I158" si="26">+B157-B31</f>
        <v>0</v>
      </c>
      <c r="C158" s="13">
        <f t="shared" si="26"/>
        <v>0</v>
      </c>
      <c r="D158" s="13">
        <f t="shared" si="26"/>
        <v>0</v>
      </c>
      <c r="E158" s="13">
        <f t="shared" si="26"/>
        <v>0</v>
      </c>
      <c r="F158" s="13">
        <f t="shared" si="26"/>
        <v>0</v>
      </c>
      <c r="G158" s="13">
        <f t="shared" si="26"/>
        <v>0</v>
      </c>
      <c r="H158" s="13">
        <f t="shared" si="26"/>
        <v>0</v>
      </c>
      <c r="I158" s="13">
        <f t="shared" si="26"/>
        <v>0</v>
      </c>
    </row>
    <row r="159" spans="1:9" x14ac:dyDescent="0.3">
      <c r="A159" s="1" t="s">
        <v>122</v>
      </c>
    </row>
    <row r="160" spans="1:9" x14ac:dyDescent="0.3">
      <c r="A160" s="2" t="s">
        <v>100</v>
      </c>
      <c r="B160" s="3">
        <v>208</v>
      </c>
      <c r="C160" s="3">
        <v>242</v>
      </c>
      <c r="D160" s="3">
        <v>223</v>
      </c>
      <c r="E160" s="3">
        <v>196</v>
      </c>
      <c r="F160" s="3">
        <v>117</v>
      </c>
      <c r="G160" s="3">
        <v>110</v>
      </c>
      <c r="H160" s="3">
        <v>98</v>
      </c>
      <c r="I160" s="3">
        <v>146</v>
      </c>
    </row>
    <row r="161" spans="1:9" x14ac:dyDescent="0.3">
      <c r="A161" s="2" t="s">
        <v>101</v>
      </c>
      <c r="B161" s="3">
        <f>216+20+37</f>
        <v>273</v>
      </c>
      <c r="C161" s="3">
        <v>234</v>
      </c>
      <c r="D161" s="3">
        <v>173</v>
      </c>
      <c r="E161" s="3">
        <v>240</v>
      </c>
      <c r="F161" s="3">
        <v>233</v>
      </c>
      <c r="G161" s="3">
        <v>139</v>
      </c>
      <c r="H161" s="3">
        <v>153</v>
      </c>
      <c r="I161" s="3">
        <v>197</v>
      </c>
    </row>
    <row r="162" spans="1:9" x14ac:dyDescent="0.3">
      <c r="A162" s="2" t="s">
        <v>102</v>
      </c>
      <c r="B162" s="3">
        <v>69</v>
      </c>
      <c r="C162" s="3">
        <v>44</v>
      </c>
      <c r="D162" s="3">
        <v>51</v>
      </c>
      <c r="E162" s="3">
        <v>76</v>
      </c>
      <c r="F162" s="3">
        <v>49</v>
      </c>
      <c r="G162" s="3">
        <v>28</v>
      </c>
      <c r="H162" s="3">
        <v>94</v>
      </c>
      <c r="I162" s="3">
        <v>78</v>
      </c>
    </row>
    <row r="163" spans="1:9" x14ac:dyDescent="0.3">
      <c r="A163" s="2" t="s">
        <v>118</v>
      </c>
      <c r="B163" s="3">
        <v>15</v>
      </c>
      <c r="C163" s="3">
        <v>62</v>
      </c>
      <c r="D163" s="3">
        <v>59</v>
      </c>
      <c r="E163" s="3">
        <v>49</v>
      </c>
      <c r="F163" s="3">
        <v>47</v>
      </c>
      <c r="G163" s="3">
        <v>41</v>
      </c>
      <c r="H163" s="3">
        <v>54</v>
      </c>
      <c r="I163" s="3">
        <v>56</v>
      </c>
    </row>
    <row r="164" spans="1:9" x14ac:dyDescent="0.3">
      <c r="A164" s="2" t="s">
        <v>107</v>
      </c>
      <c r="B164" s="3">
        <v>225</v>
      </c>
      <c r="C164" s="3">
        <v>258</v>
      </c>
      <c r="D164" s="3">
        <v>278</v>
      </c>
      <c r="E164" s="3">
        <v>286</v>
      </c>
      <c r="F164" s="3">
        <v>278</v>
      </c>
      <c r="G164" s="3">
        <v>438</v>
      </c>
      <c r="H164" s="3">
        <v>278</v>
      </c>
      <c r="I164" s="3">
        <v>222</v>
      </c>
    </row>
    <row r="165" spans="1:9" x14ac:dyDescent="0.3">
      <c r="A165" s="4" t="s">
        <v>119</v>
      </c>
      <c r="B165" s="5">
        <f t="shared" ref="B165:I165" si="27">+SUM(B160:B164)</f>
        <v>790</v>
      </c>
      <c r="C165" s="5">
        <f t="shared" si="27"/>
        <v>840</v>
      </c>
      <c r="D165" s="5">
        <f t="shared" si="27"/>
        <v>784</v>
      </c>
      <c r="E165" s="5">
        <f t="shared" si="27"/>
        <v>847</v>
      </c>
      <c r="F165" s="5">
        <f t="shared" si="27"/>
        <v>724</v>
      </c>
      <c r="G165" s="5">
        <f t="shared" si="27"/>
        <v>756</v>
      </c>
      <c r="H165" s="5">
        <f t="shared" si="27"/>
        <v>677</v>
      </c>
      <c r="I165" s="5">
        <f t="shared" si="27"/>
        <v>699</v>
      </c>
    </row>
    <row r="166" spans="1:9" x14ac:dyDescent="0.3">
      <c r="A166" s="2" t="s">
        <v>104</v>
      </c>
      <c r="B166" s="3">
        <v>69</v>
      </c>
      <c r="C166" s="3">
        <v>39</v>
      </c>
      <c r="D166" s="3">
        <v>30</v>
      </c>
      <c r="E166" s="3">
        <v>22</v>
      </c>
      <c r="F166" s="3">
        <v>18</v>
      </c>
      <c r="G166" s="3">
        <v>12</v>
      </c>
      <c r="H166" s="3">
        <v>7</v>
      </c>
      <c r="I166" s="3">
        <v>9</v>
      </c>
    </row>
    <row r="167" spans="1:9" x14ac:dyDescent="0.3">
      <c r="A167" s="2" t="s">
        <v>108</v>
      </c>
      <c r="B167" s="3">
        <f t="shared" ref="B167:I167" si="28">-(SUM(B165:B166)+B82)</f>
        <v>104</v>
      </c>
      <c r="C167" s="3">
        <f t="shared" si="28"/>
        <v>264</v>
      </c>
      <c r="D167" s="3">
        <f t="shared" si="28"/>
        <v>291</v>
      </c>
      <c r="E167" s="3">
        <f t="shared" si="28"/>
        <v>159</v>
      </c>
      <c r="F167" s="3">
        <f t="shared" si="28"/>
        <v>377</v>
      </c>
      <c r="G167" s="3">
        <f t="shared" si="28"/>
        <v>318</v>
      </c>
      <c r="H167" s="3">
        <f t="shared" si="28"/>
        <v>11</v>
      </c>
      <c r="I167" s="3">
        <f t="shared" si="28"/>
        <v>50</v>
      </c>
    </row>
    <row r="168" spans="1:9" ht="15" thickBot="1" x14ac:dyDescent="0.35">
      <c r="A168" s="6" t="s">
        <v>123</v>
      </c>
      <c r="B168" s="7">
        <f t="shared" ref="B168:I168" si="29">+SUM(B165:B167)</f>
        <v>963</v>
      </c>
      <c r="C168" s="7">
        <f t="shared" si="29"/>
        <v>1143</v>
      </c>
      <c r="D168" s="7">
        <f t="shared" si="29"/>
        <v>1105</v>
      </c>
      <c r="E168" s="7">
        <f t="shared" si="29"/>
        <v>1028</v>
      </c>
      <c r="F168" s="7">
        <f t="shared" si="29"/>
        <v>1119</v>
      </c>
      <c r="G168" s="7">
        <f t="shared" si="29"/>
        <v>1086</v>
      </c>
      <c r="H168" s="7">
        <f t="shared" si="29"/>
        <v>695</v>
      </c>
      <c r="I168" s="7">
        <f t="shared" si="29"/>
        <v>758</v>
      </c>
    </row>
    <row r="169" spans="1:9" ht="15" thickTop="1" x14ac:dyDescent="0.3">
      <c r="A169" s="12" t="s">
        <v>111</v>
      </c>
      <c r="B169" s="13">
        <f t="shared" ref="B169:I169" si="30">+B168+B82</f>
        <v>0</v>
      </c>
      <c r="C169" s="13">
        <f t="shared" si="30"/>
        <v>0</v>
      </c>
      <c r="D169" s="13">
        <f t="shared" si="30"/>
        <v>0</v>
      </c>
      <c r="E169" s="13">
        <f t="shared" si="30"/>
        <v>0</v>
      </c>
      <c r="F169" s="13">
        <f t="shared" si="30"/>
        <v>0</v>
      </c>
      <c r="G169" s="13">
        <f t="shared" si="30"/>
        <v>0</v>
      </c>
      <c r="H169" s="13">
        <f t="shared" si="30"/>
        <v>0</v>
      </c>
      <c r="I169" s="13">
        <f t="shared" si="30"/>
        <v>0</v>
      </c>
    </row>
    <row r="170" spans="1:9" x14ac:dyDescent="0.3">
      <c r="A170" s="1" t="s">
        <v>124</v>
      </c>
    </row>
    <row r="171" spans="1:9" x14ac:dyDescent="0.3">
      <c r="A171" s="2" t="s">
        <v>100</v>
      </c>
      <c r="B171" s="3">
        <v>121</v>
      </c>
      <c r="C171" s="3">
        <v>133</v>
      </c>
      <c r="D171" s="3">
        <v>140</v>
      </c>
      <c r="E171" s="3">
        <v>160</v>
      </c>
      <c r="F171" s="3">
        <v>149</v>
      </c>
      <c r="G171" s="3">
        <v>148</v>
      </c>
      <c r="H171" s="3">
        <v>130</v>
      </c>
      <c r="I171" s="3">
        <v>124</v>
      </c>
    </row>
    <row r="172" spans="1:9" x14ac:dyDescent="0.3">
      <c r="A172" s="2" t="s">
        <v>101</v>
      </c>
      <c r="B172" s="3">
        <f>75+12+27</f>
        <v>114</v>
      </c>
      <c r="C172" s="3">
        <v>85</v>
      </c>
      <c r="D172" s="3">
        <v>106</v>
      </c>
      <c r="E172" s="3">
        <v>116</v>
      </c>
      <c r="F172" s="3">
        <v>111</v>
      </c>
      <c r="G172" s="3">
        <v>132</v>
      </c>
      <c r="H172" s="3">
        <v>136</v>
      </c>
      <c r="I172" s="3">
        <v>134</v>
      </c>
    </row>
    <row r="173" spans="1:9" x14ac:dyDescent="0.3">
      <c r="A173" s="2" t="s">
        <v>102</v>
      </c>
      <c r="B173" s="3">
        <v>46</v>
      </c>
      <c r="C173" s="3">
        <v>48</v>
      </c>
      <c r="D173" s="3">
        <v>54</v>
      </c>
      <c r="E173" s="3">
        <v>56</v>
      </c>
      <c r="F173" s="3">
        <v>50</v>
      </c>
      <c r="G173" s="3">
        <v>44</v>
      </c>
      <c r="H173" s="3">
        <v>46</v>
      </c>
      <c r="I173" s="3">
        <v>41</v>
      </c>
    </row>
    <row r="174" spans="1:9" x14ac:dyDescent="0.3">
      <c r="A174" s="2" t="s">
        <v>106</v>
      </c>
      <c r="B174" s="3">
        <v>22</v>
      </c>
      <c r="C174" s="3">
        <v>42</v>
      </c>
      <c r="D174" s="3">
        <v>54</v>
      </c>
      <c r="E174" s="3">
        <v>55</v>
      </c>
      <c r="F174" s="3">
        <v>53</v>
      </c>
      <c r="G174" s="3">
        <v>46</v>
      </c>
      <c r="H174" s="3">
        <v>43</v>
      </c>
      <c r="I174" s="3">
        <v>42</v>
      </c>
    </row>
    <row r="175" spans="1:9" x14ac:dyDescent="0.3">
      <c r="A175" s="2" t="s">
        <v>107</v>
      </c>
      <c r="B175" s="3">
        <v>210</v>
      </c>
      <c r="C175" s="3">
        <v>230</v>
      </c>
      <c r="D175" s="3">
        <v>233</v>
      </c>
      <c r="E175" s="3">
        <v>217</v>
      </c>
      <c r="F175" s="3">
        <v>195</v>
      </c>
      <c r="G175" s="3">
        <v>214</v>
      </c>
      <c r="H175" s="3">
        <v>222</v>
      </c>
      <c r="I175" s="3">
        <v>220</v>
      </c>
    </row>
    <row r="176" spans="1:9" x14ac:dyDescent="0.3">
      <c r="A176" s="4" t="s">
        <v>119</v>
      </c>
      <c r="B176" s="5">
        <f>+SUM(B171:B175)</f>
        <v>513</v>
      </c>
      <c r="C176" s="5">
        <f>+SUM(C171:C175)</f>
        <v>538</v>
      </c>
      <c r="D176" s="5">
        <v>587</v>
      </c>
      <c r="E176" s="5">
        <f>+SUM(E171:E175)</f>
        <v>604</v>
      </c>
      <c r="F176" s="5">
        <f>+SUM(F171:F175)</f>
        <v>558</v>
      </c>
      <c r="G176" s="5">
        <f>+SUM(G171:G175)</f>
        <v>584</v>
      </c>
      <c r="H176" s="5">
        <f>+SUM(H171:H175)</f>
        <v>577</v>
      </c>
      <c r="I176" s="5">
        <f>+SUM(I171:I175)</f>
        <v>561</v>
      </c>
    </row>
    <row r="177" spans="1:9" x14ac:dyDescent="0.3">
      <c r="A177" s="2" t="s">
        <v>104</v>
      </c>
      <c r="B177" s="3">
        <v>18</v>
      </c>
      <c r="C177" s="3">
        <v>27</v>
      </c>
      <c r="D177" s="3">
        <v>28</v>
      </c>
      <c r="E177" s="3">
        <v>33</v>
      </c>
      <c r="F177" s="3">
        <v>31</v>
      </c>
      <c r="G177" s="3">
        <v>25</v>
      </c>
      <c r="H177" s="3">
        <v>26</v>
      </c>
      <c r="I177" s="3">
        <v>22</v>
      </c>
    </row>
    <row r="178" spans="1:9" x14ac:dyDescent="0.3">
      <c r="A178" s="2" t="s">
        <v>108</v>
      </c>
      <c r="B178" s="3">
        <v>75</v>
      </c>
      <c r="C178" s="3">
        <v>84</v>
      </c>
      <c r="D178" s="3">
        <v>91</v>
      </c>
      <c r="E178" s="3">
        <v>110</v>
      </c>
      <c r="F178" s="3">
        <v>116</v>
      </c>
      <c r="G178" s="3">
        <v>112</v>
      </c>
      <c r="H178" s="3">
        <v>141</v>
      </c>
      <c r="I178" s="3">
        <v>134</v>
      </c>
    </row>
    <row r="179" spans="1:9" ht="15" thickBot="1" x14ac:dyDescent="0.35">
      <c r="A179" s="6" t="s">
        <v>125</v>
      </c>
      <c r="B179" s="7">
        <f t="shared" ref="B179:I179" si="31">+SUM(B176:B178)</f>
        <v>606</v>
      </c>
      <c r="C179" s="7">
        <f t="shared" si="31"/>
        <v>649</v>
      </c>
      <c r="D179" s="7">
        <f t="shared" si="31"/>
        <v>706</v>
      </c>
      <c r="E179" s="7">
        <f t="shared" si="31"/>
        <v>747</v>
      </c>
      <c r="F179" s="7">
        <f t="shared" si="31"/>
        <v>705</v>
      </c>
      <c r="G179" s="7">
        <f t="shared" si="31"/>
        <v>721</v>
      </c>
      <c r="H179" s="7">
        <f t="shared" si="31"/>
        <v>744</v>
      </c>
      <c r="I179" s="7">
        <f t="shared" si="31"/>
        <v>717</v>
      </c>
    </row>
    <row r="180" spans="1:9" ht="15" thickTop="1" x14ac:dyDescent="0.3">
      <c r="A180" s="12" t="s">
        <v>111</v>
      </c>
      <c r="B180" s="13">
        <f t="shared" ref="B180:I180" si="32">+B179-B66</f>
        <v>0</v>
      </c>
      <c r="C180" s="13">
        <f t="shared" si="32"/>
        <v>0</v>
      </c>
      <c r="D180" s="13">
        <f t="shared" si="32"/>
        <v>0</v>
      </c>
      <c r="E180" s="13">
        <f t="shared" si="32"/>
        <v>0</v>
      </c>
      <c r="F180" s="13">
        <f t="shared" si="32"/>
        <v>0</v>
      </c>
      <c r="G180" s="13">
        <f t="shared" si="32"/>
        <v>0</v>
      </c>
      <c r="H180" s="13">
        <f t="shared" si="32"/>
        <v>0</v>
      </c>
      <c r="I180" s="13">
        <f t="shared" si="32"/>
        <v>0</v>
      </c>
    </row>
    <row r="181" spans="1:9" x14ac:dyDescent="0.3">
      <c r="A181" s="14" t="s">
        <v>126</v>
      </c>
      <c r="B181" s="14"/>
      <c r="C181" s="14"/>
      <c r="D181" s="14"/>
      <c r="E181" s="14"/>
      <c r="F181" s="14"/>
      <c r="G181" s="14"/>
      <c r="H181" s="14"/>
      <c r="I181" s="14"/>
    </row>
    <row r="182" spans="1:9" x14ac:dyDescent="0.3">
      <c r="A182" s="27" t="s">
        <v>127</v>
      </c>
    </row>
    <row r="183" spans="1:9" x14ac:dyDescent="0.3">
      <c r="A183" s="32" t="s">
        <v>100</v>
      </c>
      <c r="B183" s="33"/>
      <c r="C183" s="67">
        <v>7.4526928675400297E-2</v>
      </c>
      <c r="D183" s="67">
        <v>3.061500948252506E-2</v>
      </c>
      <c r="E183" s="67">
        <v>-2.4301581958936384E-2</v>
      </c>
      <c r="F183" s="67">
        <v>7.0481319421070346E-2</v>
      </c>
      <c r="G183" s="67">
        <v>-8.9171173437303478E-2</v>
      </c>
      <c r="H183" s="67">
        <v>0.18606738470035902</v>
      </c>
      <c r="I183" s="33">
        <v>7.0000000000000007E-2</v>
      </c>
    </row>
    <row r="184" spans="1:9" x14ac:dyDescent="0.3">
      <c r="A184" s="30" t="s">
        <v>113</v>
      </c>
      <c r="B184" s="29"/>
      <c r="C184" s="67">
        <v>9.3228309428638606E-2</v>
      </c>
      <c r="D184" s="67">
        <v>4.1402301322722872E-2</v>
      </c>
      <c r="E184" s="67">
        <v>-3.7381247418422137E-2</v>
      </c>
      <c r="F184" s="67">
        <v>7.7558463848959452E-2</v>
      </c>
      <c r="G184" s="67">
        <v>-7.1279243404678949E-2</v>
      </c>
      <c r="H184" s="67">
        <v>0.24815092721620752</v>
      </c>
      <c r="I184" s="29">
        <v>0.05</v>
      </c>
    </row>
    <row r="185" spans="1:9" x14ac:dyDescent="0.3">
      <c r="A185" s="30" t="s">
        <v>114</v>
      </c>
      <c r="B185" s="29"/>
      <c r="C185" s="67">
        <v>7.6190476190476197E-2</v>
      </c>
      <c r="D185" s="67">
        <v>2.9498525073746312E-2</v>
      </c>
      <c r="E185" s="67">
        <v>1.0642652476463364E-2</v>
      </c>
      <c r="F185" s="67">
        <v>6.5208586472255969E-2</v>
      </c>
      <c r="G185" s="67">
        <v>-0.11806083650190113</v>
      </c>
      <c r="H185" s="67">
        <v>8.3854278939426596E-2</v>
      </c>
      <c r="I185" s="29">
        <v>0.09</v>
      </c>
    </row>
    <row r="186" spans="1:9" x14ac:dyDescent="0.3">
      <c r="A186" s="30" t="s">
        <v>115</v>
      </c>
      <c r="B186" s="29"/>
      <c r="C186" s="67">
        <v>-0.12742718446601942</v>
      </c>
      <c r="D186" s="67">
        <v>-0.10152990264255911</v>
      </c>
      <c r="E186" s="67">
        <v>-7.8947368421052627E-2</v>
      </c>
      <c r="F186" s="67">
        <v>3.3613445378151263E-3</v>
      </c>
      <c r="G186" s="67">
        <v>-0.135678391959799</v>
      </c>
      <c r="H186" s="67">
        <v>-1.7441860465116279E-2</v>
      </c>
      <c r="I186" s="29">
        <v>0.25</v>
      </c>
    </row>
    <row r="187" spans="1:9" x14ac:dyDescent="0.3">
      <c r="A187" s="32" t="s">
        <v>101</v>
      </c>
      <c r="B187" s="33"/>
      <c r="C187" s="67">
        <v>-0.31349782293178519</v>
      </c>
      <c r="D187" s="67">
        <v>5.3118393234672302E-2</v>
      </c>
      <c r="E187" s="67">
        <v>0.15959849435382686</v>
      </c>
      <c r="F187" s="67">
        <v>6.1674962129409219E-2</v>
      </c>
      <c r="G187" s="67">
        <v>-4.7390949857317573E-2</v>
      </c>
      <c r="H187" s="67">
        <v>0.22563389322777361</v>
      </c>
      <c r="I187" s="33">
        <v>0.12</v>
      </c>
    </row>
    <row r="188" spans="1:9" x14ac:dyDescent="0.3">
      <c r="A188" s="30" t="s">
        <v>113</v>
      </c>
      <c r="B188" s="29"/>
      <c r="C188" s="67">
        <v>-0.31331699346405228</v>
      </c>
      <c r="D188" s="67">
        <v>2.9545905215149711E-2</v>
      </c>
      <c r="E188" s="67">
        <v>0.13154853620955315</v>
      </c>
      <c r="F188" s="67">
        <v>7.114893617021277E-2</v>
      </c>
      <c r="G188" s="67">
        <v>-6.3721595423486418E-2</v>
      </c>
      <c r="H188" s="67">
        <v>0.18295994568906992</v>
      </c>
      <c r="I188" s="29">
        <v>0.09</v>
      </c>
    </row>
    <row r="189" spans="1:9" x14ac:dyDescent="0.3">
      <c r="A189" s="30" t="s">
        <v>114</v>
      </c>
      <c r="B189" s="29"/>
      <c r="C189" s="67">
        <v>-0.30045572916666669</v>
      </c>
      <c r="D189" s="67">
        <v>0.11447184737087017</v>
      </c>
      <c r="E189" s="67">
        <v>0.22755741127348644</v>
      </c>
      <c r="F189" s="67">
        <v>0.05</v>
      </c>
      <c r="G189" s="67">
        <v>-1.101392938127632E-2</v>
      </c>
      <c r="H189" s="67">
        <v>0.30887651490337376</v>
      </c>
      <c r="I189" s="29">
        <v>0.16</v>
      </c>
    </row>
    <row r="190" spans="1:9" x14ac:dyDescent="0.3">
      <c r="A190" s="30" t="s">
        <v>115</v>
      </c>
      <c r="B190" s="29"/>
      <c r="C190" s="67">
        <v>-0.38157894736842107</v>
      </c>
      <c r="D190" s="67">
        <v>1.8617021276595744E-2</v>
      </c>
      <c r="E190" s="67">
        <v>0.11488250652741515</v>
      </c>
      <c r="F190" s="67">
        <v>1.1709601873536301E-2</v>
      </c>
      <c r="G190" s="67">
        <v>-6.9444444444444448E-2</v>
      </c>
      <c r="H190" s="67">
        <v>0.21890547263681592</v>
      </c>
      <c r="I190" s="29">
        <v>0.17</v>
      </c>
    </row>
    <row r="191" spans="1:9" x14ac:dyDescent="0.3">
      <c r="A191" s="32" t="s">
        <v>102</v>
      </c>
      <c r="B191" s="33"/>
      <c r="C191" s="67">
        <v>0.23410498858819692</v>
      </c>
      <c r="D191" s="67">
        <v>0.11941875825627477</v>
      </c>
      <c r="E191" s="67">
        <v>0.21170639603493038</v>
      </c>
      <c r="F191" s="67">
        <v>0.20919361121932217</v>
      </c>
      <c r="G191" s="67">
        <v>7.5869845360824736E-2</v>
      </c>
      <c r="H191" s="67">
        <v>0.24120377301991316</v>
      </c>
      <c r="I191" s="33">
        <v>-0.13</v>
      </c>
    </row>
    <row r="192" spans="1:9" x14ac:dyDescent="0.3">
      <c r="A192" s="30" t="s">
        <v>113</v>
      </c>
      <c r="B192" s="29"/>
      <c r="C192" s="67">
        <v>0.28918650793650796</v>
      </c>
      <c r="D192" s="67">
        <v>0.12350904193920739</v>
      </c>
      <c r="E192" s="67">
        <v>0.19726027397260273</v>
      </c>
      <c r="F192" s="67">
        <v>0.21910755148741418</v>
      </c>
      <c r="G192" s="67">
        <v>8.7517597372125763E-2</v>
      </c>
      <c r="H192" s="67">
        <v>0.24012944983818771</v>
      </c>
      <c r="I192" s="29">
        <v>-0.1</v>
      </c>
    </row>
    <row r="193" spans="1:9" x14ac:dyDescent="0.3">
      <c r="A193" s="30" t="s">
        <v>114</v>
      </c>
      <c r="B193" s="29"/>
      <c r="C193" s="67">
        <v>0.14054054054054055</v>
      </c>
      <c r="D193" s="67">
        <v>0.12606635071090047</v>
      </c>
      <c r="E193" s="67">
        <v>0.26936026936026936</v>
      </c>
      <c r="F193" s="67">
        <v>0.19893899204244031</v>
      </c>
      <c r="G193" s="67">
        <v>4.8672566371681415E-2</v>
      </c>
      <c r="H193" s="67">
        <v>0.2378691983122363</v>
      </c>
      <c r="I193" s="29">
        <v>-0.21</v>
      </c>
    </row>
    <row r="194" spans="1:9" x14ac:dyDescent="0.3">
      <c r="A194" s="30" t="s">
        <v>115</v>
      </c>
      <c r="B194" s="29"/>
      <c r="C194" s="67">
        <v>3.968253968253968E-2</v>
      </c>
      <c r="D194" s="67">
        <v>-1.5267175572519083E-2</v>
      </c>
      <c r="E194" s="67">
        <v>7.7519379844961239E-3</v>
      </c>
      <c r="F194" s="67">
        <v>6.1538461538461542E-2</v>
      </c>
      <c r="G194" s="67">
        <v>7.2463768115942032E-2</v>
      </c>
      <c r="H194" s="67">
        <v>0.31756756756756754</v>
      </c>
      <c r="I194" s="29">
        <v>-0.06</v>
      </c>
    </row>
    <row r="195" spans="1:9" x14ac:dyDescent="0.3">
      <c r="A195" s="32" t="s">
        <v>106</v>
      </c>
      <c r="B195" s="33"/>
      <c r="C195" s="67">
        <v>4.717880794701987</v>
      </c>
      <c r="D195" s="67">
        <v>9.7289784572619872E-2</v>
      </c>
      <c r="E195" s="67">
        <v>9.0563647878404055E-2</v>
      </c>
      <c r="F195" s="67">
        <v>1.7034456058846303E-2</v>
      </c>
      <c r="G195" s="67">
        <v>-4.3014845831747243E-2</v>
      </c>
      <c r="H195" s="67">
        <v>6.2649164677804292E-2</v>
      </c>
      <c r="I195" s="33">
        <v>0.16</v>
      </c>
    </row>
    <row r="196" spans="1:9" x14ac:dyDescent="0.3">
      <c r="A196" s="30" t="s">
        <v>113</v>
      </c>
      <c r="B196" s="29"/>
      <c r="C196" s="67">
        <v>5.4823008849557526</v>
      </c>
      <c r="D196" s="67">
        <v>0.12116040955631399</v>
      </c>
      <c r="E196" s="67">
        <v>8.8280060882800604E-2</v>
      </c>
      <c r="F196" s="67">
        <v>1.3146853146853148E-2</v>
      </c>
      <c r="G196" s="67">
        <v>-4.7763666482606291E-2</v>
      </c>
      <c r="H196" s="67">
        <v>6.0887213685126125E-2</v>
      </c>
      <c r="I196" s="29">
        <v>0.17</v>
      </c>
    </row>
    <row r="197" spans="1:9" x14ac:dyDescent="0.3">
      <c r="A197" s="30" t="s">
        <v>114</v>
      </c>
      <c r="B197" s="29"/>
      <c r="C197" s="67">
        <v>3.8565217391304349</v>
      </c>
      <c r="D197" s="67">
        <v>6.087735004476276E-2</v>
      </c>
      <c r="E197" s="67">
        <v>0.13670886075949368</v>
      </c>
      <c r="F197" s="67">
        <v>3.5634743875278395E-2</v>
      </c>
      <c r="G197" s="67">
        <v>-2.1505376344086023E-2</v>
      </c>
      <c r="H197" s="67">
        <v>9.4505494505494503E-2</v>
      </c>
      <c r="I197" s="29">
        <v>0.12</v>
      </c>
    </row>
    <row r="198" spans="1:9" x14ac:dyDescent="0.3">
      <c r="A198" s="30" t="s">
        <v>115</v>
      </c>
      <c r="B198" s="29"/>
      <c r="C198" s="67">
        <v>2.6986301369863015</v>
      </c>
      <c r="D198" s="67">
        <v>-1.1111111111111112E-2</v>
      </c>
      <c r="E198" s="67">
        <v>-8.6142322097378279E-2</v>
      </c>
      <c r="F198" s="67">
        <v>-2.8688524590163935E-2</v>
      </c>
      <c r="G198" s="67">
        <v>-9.7046413502109699E-2</v>
      </c>
      <c r="H198" s="67">
        <v>-0.11214953271028037</v>
      </c>
      <c r="I198" s="29">
        <v>0.28000000000000003</v>
      </c>
    </row>
    <row r="199" spans="1:9" x14ac:dyDescent="0.3">
      <c r="A199" s="32" t="s">
        <v>107</v>
      </c>
      <c r="B199" s="33"/>
      <c r="C199" s="67">
        <v>-0.36521739130434783</v>
      </c>
      <c r="D199" s="67">
        <v>0</v>
      </c>
      <c r="E199" s="67">
        <v>0.20547945205479451</v>
      </c>
      <c r="F199" s="67">
        <v>-0.52272727272727271</v>
      </c>
      <c r="G199" s="67">
        <v>-0.2857142857142857</v>
      </c>
      <c r="H199" s="67">
        <v>-0.16666666666666666</v>
      </c>
      <c r="I199" s="33">
        <v>3.02</v>
      </c>
    </row>
    <row r="200" spans="1:9" x14ac:dyDescent="0.3">
      <c r="A200" s="34" t="s">
        <v>103</v>
      </c>
      <c r="B200" s="36"/>
      <c r="C200" s="68">
        <v>6.2924636772237905E-2</v>
      </c>
      <c r="D200" s="67">
        <v>5.6577179008096501E-2</v>
      </c>
      <c r="E200" s="67">
        <v>6.9866286104303038E-2</v>
      </c>
      <c r="F200" s="67">
        <v>7.9251848629839056E-2</v>
      </c>
      <c r="G200" s="67">
        <v>-4.4333387070772209E-2</v>
      </c>
      <c r="H200" s="67">
        <v>0.18907444894286998</v>
      </c>
      <c r="I200" s="36">
        <v>0.06</v>
      </c>
    </row>
    <row r="201" spans="1:9" x14ac:dyDescent="0.3">
      <c r="A201" s="32" t="s">
        <v>104</v>
      </c>
      <c r="B201" s="33"/>
      <c r="C201" s="67">
        <v>-1.3622603430877902E-2</v>
      </c>
      <c r="D201" s="67">
        <v>4.4501278772378514E-2</v>
      </c>
      <c r="E201" s="67">
        <v>-7.6395690499510283E-2</v>
      </c>
      <c r="F201" s="67">
        <v>1.0604453870625663E-2</v>
      </c>
      <c r="G201" s="67">
        <v>-3.1479538300104928E-2</v>
      </c>
      <c r="H201" s="67">
        <v>0.19447453954496208</v>
      </c>
      <c r="I201" s="33">
        <v>7.0000000000000007E-2</v>
      </c>
    </row>
    <row r="202" spans="1:9" x14ac:dyDescent="0.3">
      <c r="A202" s="30" t="s">
        <v>113</v>
      </c>
      <c r="B202" s="29"/>
      <c r="C202" s="67">
        <v>8.4779997816355493E-2</v>
      </c>
      <c r="D202" s="67">
        <v>6.0892758290976803E-2</v>
      </c>
      <c r="E202" s="67">
        <v>5.6306626820359564E-2</v>
      </c>
      <c r="F202" s="67">
        <v>8.7749236572660316E-2</v>
      </c>
      <c r="G202" s="67">
        <v>-3.7858145487573283E-2</v>
      </c>
      <c r="H202" s="67">
        <v>-0.91478223557176574</v>
      </c>
      <c r="I202" s="29">
        <v>0.06</v>
      </c>
    </row>
    <row r="203" spans="1:9" x14ac:dyDescent="0.3">
      <c r="A203" s="30" t="s">
        <v>114</v>
      </c>
      <c r="B203" s="29"/>
      <c r="C203" s="67">
        <v>4.978580525645479E-2</v>
      </c>
      <c r="D203" s="67">
        <v>6.4740266901952129E-2</v>
      </c>
      <c r="E203" s="67">
        <v>0.11176714315309716</v>
      </c>
      <c r="F203" s="67">
        <v>7.6120376409205256E-2</v>
      </c>
      <c r="G203" s="67">
        <v>-5.1688311688311686E-2</v>
      </c>
      <c r="H203" s="67">
        <v>-0.99050488450652785</v>
      </c>
      <c r="I203" s="29">
        <v>-0.03</v>
      </c>
    </row>
    <row r="204" spans="1:9" x14ac:dyDescent="0.3">
      <c r="A204" s="30" t="s">
        <v>115</v>
      </c>
      <c r="B204" s="29"/>
      <c r="C204" s="67">
        <v>-0.16331096196868009</v>
      </c>
      <c r="D204" s="67">
        <v>-4.7459893048128345E-2</v>
      </c>
      <c r="E204" s="67">
        <v>-2.0350877192982456E-2</v>
      </c>
      <c r="F204" s="67">
        <v>5.7306590257879654E-3</v>
      </c>
      <c r="G204" s="67">
        <v>-8.8319088319088315E-2</v>
      </c>
      <c r="H204" s="67">
        <v>-0.97734374999999996</v>
      </c>
      <c r="I204" s="29">
        <v>-0.16</v>
      </c>
    </row>
    <row r="205" spans="1:9" x14ac:dyDescent="0.3">
      <c r="A205" s="30" t="s">
        <v>121</v>
      </c>
      <c r="B205" s="29"/>
      <c r="C205" s="69">
        <v>0</v>
      </c>
      <c r="D205" s="69">
        <v>0</v>
      </c>
      <c r="E205" s="67" t="e">
        <v>#DIV/0!</v>
      </c>
      <c r="F205" s="67">
        <v>2.9126213592233011E-2</v>
      </c>
      <c r="G205" s="67">
        <v>-0.15094339622641509</v>
      </c>
      <c r="H205" s="67">
        <v>-4.4444444444444446E-2</v>
      </c>
      <c r="I205" s="29">
        <v>0.42</v>
      </c>
    </row>
    <row r="206" spans="1:9" x14ac:dyDescent="0.3">
      <c r="A206" s="28" t="s">
        <v>108</v>
      </c>
      <c r="B206" s="29"/>
      <c r="C206" s="67">
        <v>4.878048780487805E-2</v>
      </c>
      <c r="D206" s="67">
        <v>-1.8720930232558139</v>
      </c>
      <c r="E206" s="67">
        <v>-0.65333333333333332</v>
      </c>
      <c r="F206" s="67">
        <v>-1.2692307692307692</v>
      </c>
      <c r="G206" s="67">
        <v>-0.5714285714285714</v>
      </c>
      <c r="H206" s="67">
        <v>-4.6363636363636367</v>
      </c>
      <c r="I206" s="29">
        <v>0</v>
      </c>
    </row>
    <row r="207" spans="1:9" ht="15" thickBot="1" x14ac:dyDescent="0.35">
      <c r="A207" s="31" t="s">
        <v>105</v>
      </c>
      <c r="B207" s="35"/>
      <c r="C207" s="68">
        <v>5.8004640371229696E-2</v>
      </c>
      <c r="D207" s="67">
        <v>6.0971089696071165E-2</v>
      </c>
      <c r="E207" s="67">
        <v>5.9592430858806403E-2</v>
      </c>
      <c r="F207" s="67">
        <v>7.4731433909388134E-2</v>
      </c>
      <c r="G207" s="67">
        <v>-4.3817266150267146E-2</v>
      </c>
      <c r="H207" s="67">
        <v>0.1907600994572628</v>
      </c>
      <c r="I207" s="35">
        <v>0.06</v>
      </c>
    </row>
    <row r="208" spans="1:9" ht="15" thickTop="1" x14ac:dyDescent="0.3"/>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C998-4874-45CF-AC07-F87372850E01}">
  <dimension ref="A1:O216"/>
  <sheetViews>
    <sheetView zoomScale="83" workbookViewId="0">
      <pane xSplit="1" ySplit="2" topLeftCell="B203" activePane="bottomRight" state="frozen"/>
      <selection activeCell="A163" sqref="A163"/>
      <selection pane="topRight" activeCell="A163" sqref="A163"/>
      <selection pane="bottomLeft" activeCell="A163" sqref="A163"/>
      <selection pane="bottomRight" activeCell="E219" sqref="E219"/>
    </sheetView>
  </sheetViews>
  <sheetFormatPr defaultColWidth="8.88671875" defaultRowHeight="14.4" x14ac:dyDescent="0.3"/>
  <cols>
    <col min="1" max="1" width="48.88671875" customWidth="1"/>
    <col min="2" max="14" width="11.88671875" customWidth="1"/>
  </cols>
  <sheetData>
    <row r="1" spans="1:15" ht="60" customHeight="1" x14ac:dyDescent="0.3">
      <c r="A1" s="15" t="s">
        <v>116</v>
      </c>
      <c r="B1" s="16">
        <f t="shared" ref="B1:H1" si="0">+C1-1</f>
        <v>2015</v>
      </c>
      <c r="C1" s="16">
        <f t="shared" si="0"/>
        <v>2016</v>
      </c>
      <c r="D1" s="16">
        <f t="shared" si="0"/>
        <v>2017</v>
      </c>
      <c r="E1" s="16">
        <f t="shared" si="0"/>
        <v>2018</v>
      </c>
      <c r="F1" s="16">
        <f t="shared" si="0"/>
        <v>2019</v>
      </c>
      <c r="G1" s="16">
        <f t="shared" si="0"/>
        <v>2020</v>
      </c>
      <c r="H1" s="16">
        <f t="shared" si="0"/>
        <v>2021</v>
      </c>
      <c r="I1" s="16">
        <v>2022</v>
      </c>
      <c r="J1" s="37">
        <f>+I1+1</f>
        <v>2023</v>
      </c>
      <c r="K1" s="37">
        <f>+J1+1</f>
        <v>2024</v>
      </c>
      <c r="L1" s="37">
        <f>+K1+1</f>
        <v>2025</v>
      </c>
      <c r="M1" s="37">
        <f>+L1+1</f>
        <v>2026</v>
      </c>
      <c r="N1" s="37">
        <f>+M1+1</f>
        <v>2027</v>
      </c>
    </row>
    <row r="2" spans="1:15" x14ac:dyDescent="0.3">
      <c r="A2" s="38" t="s">
        <v>128</v>
      </c>
      <c r="B2" s="38"/>
      <c r="C2" s="38"/>
      <c r="D2" s="38"/>
      <c r="E2" s="38"/>
      <c r="F2" s="38"/>
      <c r="G2" s="38"/>
      <c r="H2" s="38"/>
      <c r="I2" s="38"/>
      <c r="J2" s="37"/>
      <c r="K2" s="37"/>
      <c r="L2" s="37"/>
      <c r="M2" s="37"/>
      <c r="N2" s="37"/>
    </row>
    <row r="3" spans="1:15" x14ac:dyDescent="0.3">
      <c r="A3" s="39" t="s">
        <v>139</v>
      </c>
      <c r="B3" s="58">
        <f>+B21+B52+B83+B114+B145+B164+B199</f>
        <v>57362</v>
      </c>
      <c r="C3" s="58">
        <f>C21+C52+C83+C114+C145+C199+C164</f>
        <v>64032</v>
      </c>
      <c r="D3" s="58">
        <f t="shared" ref="D3:N3" si="1">D21+D52+D83+D114+D145+D164+D199</f>
        <v>64468</v>
      </c>
      <c r="E3" s="58">
        <f t="shared" si="1"/>
        <v>69011</v>
      </c>
      <c r="F3" s="58">
        <f t="shared" si="1"/>
        <v>74493</v>
      </c>
      <c r="G3" s="58">
        <f t="shared" si="1"/>
        <v>71507</v>
      </c>
      <c r="H3" s="58">
        <f t="shared" si="1"/>
        <v>44538</v>
      </c>
      <c r="I3" s="58">
        <f t="shared" si="1"/>
        <v>46710</v>
      </c>
      <c r="J3" s="3">
        <f t="shared" si="1"/>
        <v>51149.91</v>
      </c>
      <c r="K3" s="3">
        <f t="shared" si="1"/>
        <v>56238.1178</v>
      </c>
      <c r="L3" s="3">
        <f t="shared" si="1"/>
        <v>62152.217064000004</v>
      </c>
      <c r="M3" s="3">
        <f t="shared" si="1"/>
        <v>69035.727678320007</v>
      </c>
      <c r="N3" s="3">
        <f t="shared" si="1"/>
        <v>77060.535136311591</v>
      </c>
      <c r="O3" t="s">
        <v>142</v>
      </c>
    </row>
    <row r="4" spans="1:15" x14ac:dyDescent="0.3">
      <c r="A4" s="40" t="s">
        <v>129</v>
      </c>
      <c r="B4" s="67" t="str">
        <f>+IFERROR(B3/A3-1,"nm")</f>
        <v>nm</v>
      </c>
      <c r="C4" s="67">
        <f>+IFERROR(C3/B3-1,"nm")</f>
        <v>0.11627906976744184</v>
      </c>
      <c r="D4" s="67">
        <f>+IFERROR(D3/C3-1,"nm")</f>
        <v>6.8090954522739278E-3</v>
      </c>
      <c r="E4" s="67">
        <f>+IFERROR(D3/E3-1,"nm")</f>
        <v>-6.5830085058903642E-2</v>
      </c>
      <c r="F4" s="67">
        <f>+IFERROR(E3/F3-1,"nm")</f>
        <v>-7.3590807189937268E-2</v>
      </c>
      <c r="G4" s="67">
        <f>+IFERROR(F3/G3-1,"nm")</f>
        <v>4.1758149551792023E-2</v>
      </c>
      <c r="H4" s="67">
        <f>+IFERROR(G3/H3-1,"nm")</f>
        <v>0.60552786384660284</v>
      </c>
      <c r="I4" s="67">
        <f>+IFERROR(H3/I3-1,"nm")</f>
        <v>-4.6499678869621031E-2</v>
      </c>
      <c r="J4" s="45">
        <f>+IFERROR(J3/I3-1,"nm")</f>
        <v>9.5052665382145296E-2</v>
      </c>
      <c r="K4" s="45">
        <f>+IFERROR(K3/J3-1,"nm")</f>
        <v>9.9476378355308759E-2</v>
      </c>
      <c r="L4" s="45">
        <f>+IFERROR(L3/K3-1,"nm")</f>
        <v>0.10516175674712924</v>
      </c>
      <c r="M4" s="45">
        <f>+IFERROR(M3/L3-1,"nm")</f>
        <v>0.11075245485180107</v>
      </c>
      <c r="N4" s="45">
        <f>+IFERROR(N3/M3-1,"nm")</f>
        <v>0.11624136846046018</v>
      </c>
    </row>
    <row r="5" spans="1:15" x14ac:dyDescent="0.3">
      <c r="A5" s="39" t="s">
        <v>130</v>
      </c>
      <c r="B5" s="58">
        <f>B35+B66+B97+B128+B147+B182+B201</f>
        <v>4839</v>
      </c>
      <c r="C5" s="58">
        <f>C35+C66+C97+C128+C147+C182+C201</f>
        <v>5291</v>
      </c>
      <c r="D5" s="58">
        <f>D35+D66+D97+D128+D147+D182+D201</f>
        <v>5644</v>
      </c>
      <c r="E5" s="58">
        <f>E35+E66+E97+E128+E147+E182+E201</f>
        <v>5126</v>
      </c>
      <c r="F5" s="58">
        <f>F35+F66+F97+F128+F147+F182+F201</f>
        <v>5555</v>
      </c>
      <c r="G5" s="58">
        <f>G35+G66+G97+G128+G147+G182+174</f>
        <v>5726</v>
      </c>
      <c r="H5" s="58">
        <f t="shared" ref="H5:N5" si="2">H35+H66+H97+H128+H147+H182+H201</f>
        <v>7667</v>
      </c>
      <c r="I5" s="58">
        <f t="shared" si="2"/>
        <v>7573</v>
      </c>
      <c r="J5" s="58">
        <f t="shared" si="2"/>
        <v>7843.0170999999991</v>
      </c>
      <c r="K5" s="58">
        <f t="shared" si="2"/>
        <v>8594.6197779999966</v>
      </c>
      <c r="L5" s="58">
        <f t="shared" si="2"/>
        <v>9486.2957892399972</v>
      </c>
      <c r="M5" s="58">
        <f t="shared" si="2"/>
        <v>10543.683541259194</v>
      </c>
      <c r="N5" s="58">
        <f t="shared" si="2"/>
        <v>11797.72951808833</v>
      </c>
      <c r="O5" t="s">
        <v>143</v>
      </c>
    </row>
    <row r="6" spans="1:15" x14ac:dyDescent="0.3">
      <c r="A6" s="40" t="s">
        <v>129</v>
      </c>
      <c r="B6" s="67" t="str">
        <f>+IFERROR(B5/A5-1,"nm")</f>
        <v>nm</v>
      </c>
      <c r="C6" s="67">
        <f>+IFERROR(C5/B5-1,"nm")</f>
        <v>9.3407728869601137E-2</v>
      </c>
      <c r="D6" s="67">
        <f>+IFERROR(D5/C5-1,"nm")</f>
        <v>6.6717066717066675E-2</v>
      </c>
      <c r="E6" s="67">
        <f>+IFERROR(D5/E5-1,"nm")</f>
        <v>0.10105345298478352</v>
      </c>
      <c r="F6" s="67">
        <f t="shared" ref="F6:N6" si="3">+IFERROR(F5/E5-1,"nm")</f>
        <v>8.3690987124463545E-2</v>
      </c>
      <c r="G6" s="67">
        <f t="shared" si="3"/>
        <v>3.0783078307830891E-2</v>
      </c>
      <c r="H6" s="67">
        <f t="shared" si="3"/>
        <v>0.33898009081383162</v>
      </c>
      <c r="I6" s="67">
        <f t="shared" si="3"/>
        <v>-1.2260336507108338E-2</v>
      </c>
      <c r="J6" s="45">
        <f t="shared" si="3"/>
        <v>3.5655235705796873E-2</v>
      </c>
      <c r="K6" s="45">
        <f t="shared" si="3"/>
        <v>9.5830809549044327E-2</v>
      </c>
      <c r="L6" s="45">
        <f t="shared" si="3"/>
        <v>0.10374816271947962</v>
      </c>
      <c r="M6" s="45">
        <f t="shared" si="3"/>
        <v>0.11146476722964493</v>
      </c>
      <c r="N6" s="45">
        <f t="shared" si="3"/>
        <v>0.11893812745060539</v>
      </c>
    </row>
    <row r="7" spans="1:15" x14ac:dyDescent="0.3">
      <c r="A7" s="40" t="s">
        <v>131</v>
      </c>
      <c r="B7" s="67">
        <f t="shared" ref="B7:N7" si="4">+IFERROR(B5/B$3,"nm")</f>
        <v>8.4358983299048146E-2</v>
      </c>
      <c r="C7" s="67">
        <f t="shared" si="4"/>
        <v>8.2630559720139926E-2</v>
      </c>
      <c r="D7" s="67">
        <f t="shared" si="4"/>
        <v>8.7547310293478939E-2</v>
      </c>
      <c r="E7" s="67">
        <f t="shared" si="4"/>
        <v>7.4278013649997823E-2</v>
      </c>
      <c r="F7" s="67">
        <f t="shared" si="4"/>
        <v>7.4570765038325743E-2</v>
      </c>
      <c r="G7" s="67">
        <f t="shared" si="4"/>
        <v>8.007607646803809E-2</v>
      </c>
      <c r="H7" s="67">
        <f t="shared" si="4"/>
        <v>0.17214513449189456</v>
      </c>
      <c r="I7" s="67">
        <f t="shared" si="4"/>
        <v>0.16212802397773496</v>
      </c>
      <c r="J7" s="45">
        <f t="shared" si="4"/>
        <v>0.15333393743996809</v>
      </c>
      <c r="K7" s="45">
        <f t="shared" si="4"/>
        <v>0.15282552322545895</v>
      </c>
      <c r="L7" s="45">
        <f t="shared" si="4"/>
        <v>0.15263004663971477</v>
      </c>
      <c r="M7" s="45">
        <f t="shared" si="4"/>
        <v>0.15272792647871711</v>
      </c>
      <c r="N7" s="45">
        <f t="shared" si="4"/>
        <v>0.15309690618186661</v>
      </c>
    </row>
    <row r="8" spans="1:15" x14ac:dyDescent="0.3">
      <c r="A8" s="39" t="s">
        <v>132</v>
      </c>
      <c r="B8" s="58">
        <f>+B38+B69+B100+B131+B150+B185+B204</f>
        <v>606</v>
      </c>
      <c r="C8" s="58">
        <f t="shared" ref="C8:N8" si="5">C38+C69+C100+C131+C150+C185+C204</f>
        <v>649</v>
      </c>
      <c r="D8" s="58">
        <f t="shared" si="5"/>
        <v>699</v>
      </c>
      <c r="E8" s="58">
        <f t="shared" si="5"/>
        <v>747</v>
      </c>
      <c r="F8" s="58">
        <f t="shared" si="5"/>
        <v>705</v>
      </c>
      <c r="G8" s="58">
        <f t="shared" si="5"/>
        <v>721</v>
      </c>
      <c r="H8" s="58">
        <f t="shared" si="5"/>
        <v>744</v>
      </c>
      <c r="I8" s="58">
        <f t="shared" si="5"/>
        <v>717</v>
      </c>
      <c r="J8" s="58">
        <f t="shared" si="5"/>
        <v>1290.4712813823473</v>
      </c>
      <c r="K8" s="58">
        <f t="shared" si="5"/>
        <v>1438.4574826929331</v>
      </c>
      <c r="L8" s="58">
        <f t="shared" si="5"/>
        <v>1610.7469934160981</v>
      </c>
      <c r="M8" s="58">
        <f t="shared" si="5"/>
        <v>1811.7510402383245</v>
      </c>
      <c r="N8" s="58">
        <f t="shared" si="5"/>
        <v>2046.7713409784781</v>
      </c>
      <c r="O8" t="s">
        <v>144</v>
      </c>
    </row>
    <row r="9" spans="1:15" x14ac:dyDescent="0.3">
      <c r="A9" s="40" t="s">
        <v>129</v>
      </c>
      <c r="B9" s="67" t="str">
        <f t="shared" ref="B9:N9" si="6">+IFERROR(B8/A8-1,"nm")</f>
        <v>nm</v>
      </c>
      <c r="C9" s="67">
        <f t="shared" si="6"/>
        <v>7.0957095709570872E-2</v>
      </c>
      <c r="D9" s="67">
        <f t="shared" si="6"/>
        <v>7.7041602465331316E-2</v>
      </c>
      <c r="E9" s="67">
        <f t="shared" si="6"/>
        <v>6.8669527896995763E-2</v>
      </c>
      <c r="F9" s="67">
        <f t="shared" si="6"/>
        <v>-5.6224899598393607E-2</v>
      </c>
      <c r="G9" s="67">
        <f t="shared" si="6"/>
        <v>2.2695035460992941E-2</v>
      </c>
      <c r="H9" s="67">
        <f t="shared" si="6"/>
        <v>3.1900138696255187E-2</v>
      </c>
      <c r="I9" s="67">
        <f t="shared" si="6"/>
        <v>-3.6290322580645129E-2</v>
      </c>
      <c r="J9" s="45">
        <f t="shared" si="6"/>
        <v>0.79982047612600748</v>
      </c>
      <c r="K9" s="45">
        <f t="shared" si="6"/>
        <v>0.11467609039084037</v>
      </c>
      <c r="L9" s="45">
        <f t="shared" si="6"/>
        <v>0.11977379435687041</v>
      </c>
      <c r="M9" s="45">
        <f t="shared" si="6"/>
        <v>0.12478933541010928</v>
      </c>
      <c r="N9" s="45">
        <f t="shared" si="6"/>
        <v>0.12971997560395399</v>
      </c>
    </row>
    <row r="10" spans="1:15" x14ac:dyDescent="0.3">
      <c r="A10" s="40" t="s">
        <v>133</v>
      </c>
      <c r="B10" s="67">
        <f t="shared" ref="B10:N10" si="7">+IFERROR(B8/B$3,"nm")</f>
        <v>1.0564485199260835E-2</v>
      </c>
      <c r="C10" s="67">
        <f t="shared" si="7"/>
        <v>1.0135557221389306E-2</v>
      </c>
      <c r="D10" s="67">
        <f t="shared" si="7"/>
        <v>1.0842588571074022E-2</v>
      </c>
      <c r="E10" s="67">
        <f t="shared" si="7"/>
        <v>1.0824361333700424E-2</v>
      </c>
      <c r="F10" s="67">
        <f t="shared" si="7"/>
        <v>9.4639764810116392E-3</v>
      </c>
      <c r="G10" s="67">
        <f t="shared" si="7"/>
        <v>1.0082928944019466E-2</v>
      </c>
      <c r="H10" s="67">
        <f t="shared" si="7"/>
        <v>1.6704836319547355E-2</v>
      </c>
      <c r="I10" s="67">
        <f t="shared" si="7"/>
        <v>1.5350032113037893E-2</v>
      </c>
      <c r="J10" s="45">
        <f t="shared" si="7"/>
        <v>2.5229199452791749E-2</v>
      </c>
      <c r="K10" s="45">
        <f t="shared" si="7"/>
        <v>2.5577980539969871E-2</v>
      </c>
      <c r="L10" s="45">
        <f t="shared" si="7"/>
        <v>2.5916163083248719E-2</v>
      </c>
      <c r="M10" s="45">
        <f t="shared" si="7"/>
        <v>2.6243672677434344E-2</v>
      </c>
      <c r="N10" s="45">
        <f t="shared" si="7"/>
        <v>2.6560564851489353E-2</v>
      </c>
    </row>
    <row r="11" spans="1:15" x14ac:dyDescent="0.3">
      <c r="A11" s="39" t="s">
        <v>134</v>
      </c>
      <c r="B11" s="58">
        <f t="shared" ref="B11:H11" si="8">B42+B73+B104+B135+B154+B189+B208</f>
        <v>4233</v>
      </c>
      <c r="C11" s="58">
        <f t="shared" si="8"/>
        <v>4642</v>
      </c>
      <c r="D11" s="58">
        <f t="shared" si="8"/>
        <v>4945</v>
      </c>
      <c r="E11" s="58">
        <f t="shared" si="8"/>
        <v>4379</v>
      </c>
      <c r="F11" s="58">
        <f t="shared" si="8"/>
        <v>4850</v>
      </c>
      <c r="G11" s="58">
        <f t="shared" si="8"/>
        <v>2976</v>
      </c>
      <c r="H11" s="58">
        <f t="shared" si="8"/>
        <v>6923</v>
      </c>
      <c r="I11" s="58">
        <f>I42+I73+I104+I135+I154+I208+I189</f>
        <v>6856</v>
      </c>
      <c r="J11" s="58">
        <f>J5-J8</f>
        <v>6552.545818617652</v>
      </c>
      <c r="K11" s="58">
        <f>K5-K8</f>
        <v>7156.1622953070637</v>
      </c>
      <c r="L11" s="58">
        <f>L5-L8</f>
        <v>7875.5487958238991</v>
      </c>
      <c r="M11" s="58">
        <f>M5-M8</f>
        <v>8731.9325010208686</v>
      </c>
      <c r="N11" s="58">
        <f>N5-N8</f>
        <v>9750.9581771098528</v>
      </c>
      <c r="O11" t="s">
        <v>145</v>
      </c>
    </row>
    <row r="12" spans="1:15" x14ac:dyDescent="0.3">
      <c r="A12" s="40" t="s">
        <v>129</v>
      </c>
      <c r="B12" s="67" t="str">
        <f t="shared" ref="B12:N12" si="9">+IFERROR(B11/A11-1,"nm")</f>
        <v>nm</v>
      </c>
      <c r="C12" s="67">
        <f t="shared" si="9"/>
        <v>9.6621781242617555E-2</v>
      </c>
      <c r="D12" s="67">
        <f t="shared" si="9"/>
        <v>6.5273588970271357E-2</v>
      </c>
      <c r="E12" s="67">
        <f t="shared" si="9"/>
        <v>-0.11445904954499497</v>
      </c>
      <c r="F12" s="67">
        <f t="shared" si="9"/>
        <v>0.10755880337976698</v>
      </c>
      <c r="G12" s="67">
        <f t="shared" si="9"/>
        <v>-0.38639175257731961</v>
      </c>
      <c r="H12" s="67">
        <f t="shared" si="9"/>
        <v>1.32627688172043</v>
      </c>
      <c r="I12" s="67">
        <f t="shared" si="9"/>
        <v>-9.67788530983682E-3</v>
      </c>
      <c r="J12" s="45">
        <f t="shared" si="9"/>
        <v>-4.4261111636865191E-2</v>
      </c>
      <c r="K12" s="45">
        <f t="shared" si="9"/>
        <v>9.2119382816731266E-2</v>
      </c>
      <c r="L12" s="45">
        <f t="shared" si="9"/>
        <v>0.10052685655111571</v>
      </c>
      <c r="M12" s="45">
        <f t="shared" si="9"/>
        <v>0.10873955928646861</v>
      </c>
      <c r="N12" s="45">
        <f t="shared" si="9"/>
        <v>0.1167010482467481</v>
      </c>
    </row>
    <row r="13" spans="1:15" x14ac:dyDescent="0.3">
      <c r="A13" s="40" t="s">
        <v>131</v>
      </c>
      <c r="B13" s="67">
        <f t="shared" ref="B13:N13" si="10">+IFERROR(B11/B$3,"nm")</f>
        <v>7.3794498099787317E-2</v>
      </c>
      <c r="C13" s="67">
        <f t="shared" si="10"/>
        <v>7.2495002498750627E-2</v>
      </c>
      <c r="D13" s="67">
        <f t="shared" si="10"/>
        <v>7.6704721722404917E-2</v>
      </c>
      <c r="E13" s="67">
        <f t="shared" si="10"/>
        <v>6.3453652316297404E-2</v>
      </c>
      <c r="F13" s="67">
        <f t="shared" si="10"/>
        <v>6.510678855731411E-2</v>
      </c>
      <c r="G13" s="67">
        <f t="shared" si="10"/>
        <v>4.1618303103192693E-2</v>
      </c>
      <c r="H13" s="67">
        <f t="shared" si="10"/>
        <v>0.1554402981723472</v>
      </c>
      <c r="I13" s="67">
        <f t="shared" si="10"/>
        <v>0.14677799186469706</v>
      </c>
      <c r="J13" s="45">
        <f t="shared" si="10"/>
        <v>0.12810473798717636</v>
      </c>
      <c r="K13" s="45">
        <f t="shared" si="10"/>
        <v>0.1272475426854891</v>
      </c>
      <c r="L13" s="45">
        <f t="shared" si="10"/>
        <v>0.12671388355646607</v>
      </c>
      <c r="M13" s="45">
        <f t="shared" si="10"/>
        <v>0.12648425380128275</v>
      </c>
      <c r="N13" s="45">
        <f t="shared" si="10"/>
        <v>0.12653634133037725</v>
      </c>
    </row>
    <row r="14" spans="1:15" x14ac:dyDescent="0.3">
      <c r="A14" s="93" t="s">
        <v>135</v>
      </c>
      <c r="B14" s="58">
        <f>B45+B76+B107+B138+B157+B192+B211</f>
        <v>963</v>
      </c>
      <c r="C14" s="58">
        <f>C45+C76+C107+C138+C157+C192+C211</f>
        <v>1143</v>
      </c>
      <c r="D14" s="58">
        <f>D45+D76+D107+D138+D157+D192+D211</f>
        <v>1105</v>
      </c>
      <c r="E14" s="58">
        <f>E45+E76+E107+E138+E157+E192+183</f>
        <v>1052</v>
      </c>
      <c r="F14" s="58">
        <f t="shared" ref="F14:N14" si="11">F45+F76+F107+F138+F157+F192+F211</f>
        <v>1119</v>
      </c>
      <c r="G14" s="58">
        <f t="shared" si="11"/>
        <v>1086</v>
      </c>
      <c r="H14" s="58">
        <f t="shared" si="11"/>
        <v>695</v>
      </c>
      <c r="I14" s="58">
        <f t="shared" si="11"/>
        <v>758</v>
      </c>
      <c r="J14" s="58">
        <f t="shared" si="11"/>
        <v>877.06778701753126</v>
      </c>
      <c r="K14" s="58">
        <f t="shared" si="11"/>
        <v>967.06093458273665</v>
      </c>
      <c r="L14" s="58">
        <f t="shared" si="11"/>
        <v>1070.2781009751459</v>
      </c>
      <c r="M14" s="58">
        <f t="shared" si="11"/>
        <v>1188.8255319086113</v>
      </c>
      <c r="N14" s="58">
        <f t="shared" si="11"/>
        <v>1325.191723307873</v>
      </c>
      <c r="O14" t="s">
        <v>146</v>
      </c>
    </row>
    <row r="15" spans="1:15" x14ac:dyDescent="0.3">
      <c r="A15" s="40" t="s">
        <v>129</v>
      </c>
      <c r="B15" s="67" t="str">
        <f t="shared" ref="B15:N15" si="12">+IFERROR(B14/A14-1,"nm")</f>
        <v>nm</v>
      </c>
      <c r="C15" s="67">
        <f t="shared" si="12"/>
        <v>0.18691588785046731</v>
      </c>
      <c r="D15" s="67">
        <f t="shared" si="12"/>
        <v>-3.3245844269466307E-2</v>
      </c>
      <c r="E15" s="67">
        <f t="shared" si="12"/>
        <v>-4.7963800904977427E-2</v>
      </c>
      <c r="F15" s="67">
        <f t="shared" si="12"/>
        <v>6.3688212927756727E-2</v>
      </c>
      <c r="G15" s="67">
        <f t="shared" si="12"/>
        <v>-2.9490616621983934E-2</v>
      </c>
      <c r="H15" s="67">
        <f t="shared" si="12"/>
        <v>-0.36003683241252304</v>
      </c>
      <c r="I15" s="67">
        <f t="shared" si="12"/>
        <v>9.0647482014388547E-2</v>
      </c>
      <c r="J15" s="45">
        <f t="shared" si="12"/>
        <v>0.15708151321574038</v>
      </c>
      <c r="K15" s="45">
        <f t="shared" si="12"/>
        <v>0.10260683255877745</v>
      </c>
      <c r="L15" s="45">
        <f t="shared" si="12"/>
        <v>0.10673284660903493</v>
      </c>
      <c r="M15" s="45">
        <f t="shared" si="12"/>
        <v>0.11076320334449075</v>
      </c>
      <c r="N15" s="45">
        <f t="shared" si="12"/>
        <v>0.11470664764436145</v>
      </c>
    </row>
    <row r="16" spans="1:15" x14ac:dyDescent="0.3">
      <c r="A16" s="40" t="s">
        <v>133</v>
      </c>
      <c r="B16" s="67">
        <f t="shared" ref="B16:N16" si="13">+IFERROR(B14/B$3,"nm")</f>
        <v>1.6788117569122414E-2</v>
      </c>
      <c r="C16" s="67">
        <f t="shared" si="13"/>
        <v>1.7850449775112444E-2</v>
      </c>
      <c r="D16" s="67">
        <f t="shared" si="13"/>
        <v>1.7140286653843768E-2</v>
      </c>
      <c r="E16" s="67">
        <f t="shared" si="13"/>
        <v>1.5243946617205953E-2</v>
      </c>
      <c r="F16" s="67">
        <f t="shared" si="13"/>
        <v>1.502154564858443E-2</v>
      </c>
      <c r="G16" s="67">
        <f t="shared" si="13"/>
        <v>1.5187324317898947E-2</v>
      </c>
      <c r="H16" s="67">
        <f t="shared" si="13"/>
        <v>1.5604652207104046E-2</v>
      </c>
      <c r="I16" s="67">
        <f t="shared" si="13"/>
        <v>1.6227788482123744E-2</v>
      </c>
      <c r="J16" s="45">
        <f t="shared" si="13"/>
        <v>1.7147005478944755E-2</v>
      </c>
      <c r="K16" s="45">
        <f t="shared" si="13"/>
        <v>1.7195826823755055E-2</v>
      </c>
      <c r="L16" s="45">
        <f t="shared" si="13"/>
        <v>1.7220272285267769E-2</v>
      </c>
      <c r="M16" s="45">
        <f t="shared" si="13"/>
        <v>1.7220438921830186E-2</v>
      </c>
      <c r="N16" s="45">
        <f t="shared" si="13"/>
        <v>1.7196762531738911E-2</v>
      </c>
    </row>
    <row r="17" spans="1:15" x14ac:dyDescent="0.3">
      <c r="A17" s="40" t="s">
        <v>141</v>
      </c>
      <c r="B17" s="58">
        <f t="shared" ref="B17:N17" si="14">B48+B79+B110+B141+B160+B195+B214</f>
        <v>2821</v>
      </c>
      <c r="C17" s="58">
        <f t="shared" si="14"/>
        <v>3359</v>
      </c>
      <c r="D17" s="58">
        <f t="shared" si="14"/>
        <v>3708</v>
      </c>
      <c r="E17" s="58">
        <f t="shared" si="14"/>
        <v>4164</v>
      </c>
      <c r="F17" s="58">
        <f t="shared" si="14"/>
        <v>4465</v>
      </c>
      <c r="G17" s="58">
        <f t="shared" si="14"/>
        <v>4631</v>
      </c>
      <c r="H17" s="58">
        <f t="shared" si="14"/>
        <v>4654</v>
      </c>
      <c r="I17" s="58">
        <f t="shared" si="14"/>
        <v>4573</v>
      </c>
      <c r="J17" s="58">
        <f t="shared" si="14"/>
        <v>6199.7328999999991</v>
      </c>
      <c r="K17" s="58">
        <f t="shared" si="14"/>
        <v>6684.5539420000005</v>
      </c>
      <c r="L17" s="58">
        <f t="shared" si="14"/>
        <v>7244.0769493599992</v>
      </c>
      <c r="M17" s="58">
        <f t="shared" si="14"/>
        <v>7890.7286814088002</v>
      </c>
      <c r="N17" s="58">
        <f t="shared" si="14"/>
        <v>8639.2718589060041</v>
      </c>
      <c r="O17" t="s">
        <v>147</v>
      </c>
    </row>
    <row r="18" spans="1:15" x14ac:dyDescent="0.3">
      <c r="A18" s="40" t="s">
        <v>129</v>
      </c>
      <c r="B18" s="70" t="str">
        <f t="shared" ref="B18:N18" si="15">+IFERROR(B17/A17-1,"nm")</f>
        <v>nm</v>
      </c>
      <c r="C18" s="70">
        <f t="shared" si="15"/>
        <v>0.19071251329315841</v>
      </c>
      <c r="D18" s="70">
        <f t="shared" si="15"/>
        <v>0.10389997022923492</v>
      </c>
      <c r="E18" s="70">
        <f t="shared" si="15"/>
        <v>0.12297734627831725</v>
      </c>
      <c r="F18" s="70">
        <f t="shared" si="15"/>
        <v>7.2286263208453327E-2</v>
      </c>
      <c r="G18" s="70">
        <f t="shared" si="15"/>
        <v>3.7178051511758126E-2</v>
      </c>
      <c r="H18" s="70">
        <f t="shared" si="15"/>
        <v>4.9665299071475211E-3</v>
      </c>
      <c r="I18" s="70">
        <f t="shared" si="15"/>
        <v>-1.7404383326171002E-2</v>
      </c>
      <c r="J18" s="45">
        <f t="shared" si="15"/>
        <v>0.35572554122020539</v>
      </c>
      <c r="K18" s="45">
        <f t="shared" si="15"/>
        <v>7.8200311177922144E-2</v>
      </c>
      <c r="L18" s="45">
        <f t="shared" si="15"/>
        <v>8.3703865989387394E-2</v>
      </c>
      <c r="M18" s="45">
        <f t="shared" si="15"/>
        <v>8.9266270439870343E-2</v>
      </c>
      <c r="N18" s="45">
        <f t="shared" si="15"/>
        <v>9.486363144899812E-2</v>
      </c>
    </row>
    <row r="19" spans="1:15" x14ac:dyDescent="0.3">
      <c r="A19" s="40" t="s">
        <v>133</v>
      </c>
      <c r="B19" s="70">
        <f t="shared" ref="B19:N19" si="16">+IFERROR(B17/B$3,"nm")</f>
        <v>4.9178898922631706E-2</v>
      </c>
      <c r="C19" s="70">
        <f t="shared" si="16"/>
        <v>5.245814592703648E-2</v>
      </c>
      <c r="D19" s="70">
        <f t="shared" si="16"/>
        <v>5.7516907613079357E-2</v>
      </c>
      <c r="E19" s="70">
        <f t="shared" si="16"/>
        <v>6.0338206952514815E-2</v>
      </c>
      <c r="F19" s="70">
        <f t="shared" si="16"/>
        <v>5.9938517713073715E-2</v>
      </c>
      <c r="G19" s="70">
        <f t="shared" si="16"/>
        <v>6.4762890346399649E-2</v>
      </c>
      <c r="H19" s="70">
        <f t="shared" si="16"/>
        <v>0.1044950379451255</v>
      </c>
      <c r="I19" s="70">
        <f t="shared" si="16"/>
        <v>9.7901948190965538E-2</v>
      </c>
      <c r="J19" s="45">
        <f t="shared" si="16"/>
        <v>0.12120711258338478</v>
      </c>
      <c r="K19" s="45">
        <f t="shared" si="16"/>
        <v>0.11886162274797896</v>
      </c>
      <c r="L19" s="45">
        <f t="shared" si="16"/>
        <v>0.11655379794256665</v>
      </c>
      <c r="M19" s="45">
        <f t="shared" si="16"/>
        <v>0.11429920342371949</v>
      </c>
      <c r="N19" s="45">
        <f t="shared" si="16"/>
        <v>0.1121101980880886</v>
      </c>
    </row>
    <row r="20" spans="1:15" x14ac:dyDescent="0.3">
      <c r="A20" s="41" t="str">
        <f>+'Historicals (2)'!A111</f>
        <v>North America</v>
      </c>
      <c r="B20" s="41"/>
      <c r="C20" s="41"/>
      <c r="D20" s="41"/>
      <c r="E20" s="41"/>
      <c r="F20" s="41"/>
      <c r="G20" s="41"/>
      <c r="H20" s="41"/>
      <c r="I20" s="41"/>
      <c r="J20" s="37"/>
      <c r="K20" s="37"/>
      <c r="L20" s="37"/>
      <c r="M20" s="37"/>
      <c r="N20" s="37"/>
    </row>
    <row r="21" spans="1:15" x14ac:dyDescent="0.3">
      <c r="A21" s="9" t="s">
        <v>136</v>
      </c>
      <c r="B21" s="9">
        <f>B23+B27+B31</f>
        <v>13740</v>
      </c>
      <c r="C21" s="9">
        <f>C23+C27+C35</f>
        <v>17941</v>
      </c>
      <c r="D21" s="9">
        <f t="shared" ref="D21:I21" si="17">D23+D27+D31</f>
        <v>15216</v>
      </c>
      <c r="E21" s="9">
        <f t="shared" si="17"/>
        <v>14855</v>
      </c>
      <c r="F21" s="9">
        <f t="shared" si="17"/>
        <v>15902</v>
      </c>
      <c r="G21" s="9">
        <f t="shared" si="17"/>
        <v>14484</v>
      </c>
      <c r="H21" s="9">
        <f t="shared" si="17"/>
        <v>17179</v>
      </c>
      <c r="I21" s="9">
        <f t="shared" si="17"/>
        <v>18353</v>
      </c>
      <c r="J21" s="9">
        <f>+SUM(J23+J27+J31)</f>
        <v>19121.04</v>
      </c>
      <c r="K21" s="9">
        <f>+SUM(K23+K27+K31)</f>
        <v>19939.135200000001</v>
      </c>
      <c r="L21" s="9">
        <f>+SUM(L23+L27+L31)</f>
        <v>20813.366256000001</v>
      </c>
      <c r="M21" s="9">
        <f>+SUM(M23+M27+M31)</f>
        <v>21750.870853680004</v>
      </c>
      <c r="N21" s="9">
        <f>+SUM(N23+N27+N31)</f>
        <v>22760.048281790405</v>
      </c>
    </row>
    <row r="22" spans="1:15" x14ac:dyDescent="0.3">
      <c r="A22" s="42" t="s">
        <v>129</v>
      </c>
      <c r="B22" s="45" t="str">
        <f>+IFERROR(B3/A3-1,"nm")</f>
        <v>nm</v>
      </c>
      <c r="C22" s="45">
        <f t="shared" ref="C22:N22" si="18">+IFERROR(C21/B21-1,"nm")</f>
        <v>0.30574963609898109</v>
      </c>
      <c r="D22" s="45">
        <f t="shared" si="18"/>
        <v>-0.15188673986957246</v>
      </c>
      <c r="E22" s="45">
        <f t="shared" si="18"/>
        <v>-2.372502628811779E-2</v>
      </c>
      <c r="F22" s="45">
        <f t="shared" si="18"/>
        <v>7.0481319421070276E-2</v>
      </c>
      <c r="G22" s="45">
        <f t="shared" si="18"/>
        <v>-8.9171173437303519E-2</v>
      </c>
      <c r="H22" s="45">
        <f t="shared" si="18"/>
        <v>0.18606738470035911</v>
      </c>
      <c r="I22" s="45">
        <f t="shared" si="18"/>
        <v>6.8339251411607238E-2</v>
      </c>
      <c r="J22" s="45">
        <f t="shared" si="18"/>
        <v>4.1848199204489678E-2</v>
      </c>
      <c r="K22" s="45">
        <f t="shared" si="18"/>
        <v>4.2785078635890095E-2</v>
      </c>
      <c r="L22" s="45">
        <f t="shared" si="18"/>
        <v>4.3844983607914889E-2</v>
      </c>
      <c r="M22" s="45">
        <f t="shared" si="18"/>
        <v>4.504339116262579E-2</v>
      </c>
      <c r="N22" s="45">
        <f t="shared" si="18"/>
        <v>4.6397104506721742E-2</v>
      </c>
    </row>
    <row r="23" spans="1:15" x14ac:dyDescent="0.3">
      <c r="A23" s="43" t="s">
        <v>113</v>
      </c>
      <c r="B23" s="3">
        <f>+'Historicals (2)'!B112</f>
        <v>8506</v>
      </c>
      <c r="C23" s="3">
        <f>+'Historicals (2)'!C112</f>
        <v>9299</v>
      </c>
      <c r="D23" s="3">
        <f>+'Historicals (2)'!D112</f>
        <v>9684</v>
      </c>
      <c r="E23" s="3">
        <f>+'Historicals (2)'!E112</f>
        <v>9322</v>
      </c>
      <c r="F23" s="3">
        <f>+'Historicals (2)'!F112</f>
        <v>10045</v>
      </c>
      <c r="G23" s="3">
        <f>+'Historicals (2)'!G112</f>
        <v>9329</v>
      </c>
      <c r="H23" s="3">
        <f>+'Historicals (2)'!H112</f>
        <v>11644</v>
      </c>
      <c r="I23" s="3">
        <f>+'Historicals (2)'!I112</f>
        <v>12228</v>
      </c>
      <c r="J23" s="3">
        <f>+I23*(1+J24)</f>
        <v>12594.84</v>
      </c>
      <c r="K23" s="3">
        <f>+J23*(1+K24)</f>
        <v>12972.6852</v>
      </c>
      <c r="L23" s="3">
        <f>+K23*(1+L24)</f>
        <v>13361.865756000001</v>
      </c>
      <c r="M23" s="3">
        <f>+L23*(1+M24)</f>
        <v>13762.721728680002</v>
      </c>
      <c r="N23" s="3">
        <f>+M23*(1+N24)</f>
        <v>14175.603380540402</v>
      </c>
    </row>
    <row r="24" spans="1:15" x14ac:dyDescent="0.3">
      <c r="A24" s="42" t="s">
        <v>129</v>
      </c>
      <c r="B24" s="45" t="str">
        <f t="shared" ref="B24:I24" si="19">+IFERROR(B23/A23-1,"nm")</f>
        <v>nm</v>
      </c>
      <c r="C24" s="45">
        <f t="shared" si="19"/>
        <v>9.3228309428638578E-2</v>
      </c>
      <c r="D24" s="45">
        <f t="shared" si="19"/>
        <v>4.1402301322722934E-2</v>
      </c>
      <c r="E24" s="45">
        <f t="shared" si="19"/>
        <v>-3.7381247418422192E-2</v>
      </c>
      <c r="F24" s="45">
        <f t="shared" si="19"/>
        <v>7.755846384895948E-2</v>
      </c>
      <c r="G24" s="45">
        <f t="shared" si="19"/>
        <v>-7.1279243404678949E-2</v>
      </c>
      <c r="H24" s="45">
        <f t="shared" si="19"/>
        <v>0.24815092721620746</v>
      </c>
      <c r="I24" s="45">
        <f t="shared" si="19"/>
        <v>5.0154586052902683E-2</v>
      </c>
      <c r="J24" s="45">
        <f>+J25+J26</f>
        <v>0.03</v>
      </c>
      <c r="K24" s="45">
        <f>+K25+K26</f>
        <v>0.03</v>
      </c>
      <c r="L24" s="45">
        <f>+L25+L26</f>
        <v>0.03</v>
      </c>
      <c r="M24" s="45">
        <f>+M25+M26</f>
        <v>0.03</v>
      </c>
      <c r="N24" s="45">
        <f>+N25+N26</f>
        <v>0.03</v>
      </c>
    </row>
    <row r="25" spans="1:15" x14ac:dyDescent="0.3">
      <c r="A25" s="42" t="s">
        <v>137</v>
      </c>
      <c r="B25" s="45">
        <f>+'Historicals (2)'!B184</f>
        <v>0</v>
      </c>
      <c r="C25" s="45">
        <f>+'Historicals (2)'!C184</f>
        <v>9.3228309428638606E-2</v>
      </c>
      <c r="D25" s="45">
        <f>+'Historicals (2)'!D184</f>
        <v>4.1402301322722872E-2</v>
      </c>
      <c r="E25" s="45">
        <f>+'Historicals (2)'!E184</f>
        <v>-3.7381247418422137E-2</v>
      </c>
      <c r="F25" s="45">
        <f>+'Historicals (2)'!F184</f>
        <v>7.7558463848959452E-2</v>
      </c>
      <c r="G25" s="45">
        <f>+'Historicals (2)'!G184</f>
        <v>-7.1279243404678949E-2</v>
      </c>
      <c r="H25" s="45">
        <f>+'Historicals (2)'!H184</f>
        <v>0.24815092721620752</v>
      </c>
      <c r="I25" s="45">
        <f>+'Historicals (2)'!I184</f>
        <v>0.05</v>
      </c>
      <c r="J25" s="47">
        <v>0.03</v>
      </c>
      <c r="K25" s="47">
        <f t="shared" ref="K25:N26" si="20">+J25</f>
        <v>0.03</v>
      </c>
      <c r="L25" s="47">
        <f t="shared" si="20"/>
        <v>0.03</v>
      </c>
      <c r="M25" s="47">
        <f t="shared" si="20"/>
        <v>0.03</v>
      </c>
      <c r="N25" s="47">
        <f t="shared" si="20"/>
        <v>0.03</v>
      </c>
    </row>
    <row r="26" spans="1:15" x14ac:dyDescent="0.3">
      <c r="A26" s="42" t="s">
        <v>138</v>
      </c>
      <c r="B26" s="45" t="str">
        <f t="shared" ref="B26:I26" si="21">+IFERROR(B24-B25,"nm")</f>
        <v>nm</v>
      </c>
      <c r="C26" s="45">
        <f t="shared" si="21"/>
        <v>-2.7755575615628914E-17</v>
      </c>
      <c r="D26" s="45">
        <f t="shared" si="21"/>
        <v>6.2450045135165055E-17</v>
      </c>
      <c r="E26" s="45">
        <f t="shared" si="21"/>
        <v>-5.5511151231257827E-17</v>
      </c>
      <c r="F26" s="45">
        <f t="shared" si="21"/>
        <v>2.7755575615628914E-17</v>
      </c>
      <c r="G26" s="45">
        <f t="shared" si="21"/>
        <v>0</v>
      </c>
      <c r="H26" s="45">
        <f t="shared" si="21"/>
        <v>-5.5511151231257827E-17</v>
      </c>
      <c r="I26" s="45">
        <f t="shared" si="21"/>
        <v>1.5458605290268046E-4</v>
      </c>
      <c r="J26" s="47">
        <v>0</v>
      </c>
      <c r="K26" s="47">
        <f t="shared" si="20"/>
        <v>0</v>
      </c>
      <c r="L26" s="47">
        <f t="shared" si="20"/>
        <v>0</v>
      </c>
      <c r="M26" s="47">
        <f t="shared" si="20"/>
        <v>0</v>
      </c>
      <c r="N26" s="47">
        <f t="shared" si="20"/>
        <v>0</v>
      </c>
    </row>
    <row r="27" spans="1:15" x14ac:dyDescent="0.3">
      <c r="A27" s="43" t="s">
        <v>114</v>
      </c>
      <c r="B27" s="3">
        <f>+'Historicals (2)'!B113</f>
        <v>4410</v>
      </c>
      <c r="C27" s="3">
        <f>+'Historicals (2)'!C113</f>
        <v>4746</v>
      </c>
      <c r="D27" s="3">
        <f>+'Historicals (2)'!D113</f>
        <v>4886</v>
      </c>
      <c r="E27" s="3">
        <f>+'Historicals (2)'!E113</f>
        <v>4938</v>
      </c>
      <c r="F27" s="3">
        <f>+'Historicals (2)'!F113</f>
        <v>5260</v>
      </c>
      <c r="G27" s="3">
        <f>+'Historicals (2)'!G113</f>
        <v>4639</v>
      </c>
      <c r="H27" s="3">
        <f>+'Historicals (2)'!H113</f>
        <v>5028</v>
      </c>
      <c r="I27" s="3">
        <f>+'Historicals (2)'!I113</f>
        <v>5492</v>
      </c>
      <c r="J27" s="3">
        <f>+I27*(1+J28)</f>
        <v>5766.6</v>
      </c>
      <c r="K27" s="3">
        <f>+J27*(1+K28)</f>
        <v>6054.93</v>
      </c>
      <c r="L27" s="3">
        <f>+K27*(1+L28)</f>
        <v>6357.6765000000005</v>
      </c>
      <c r="M27" s="3">
        <f>+L27*(1+M28)</f>
        <v>6675.5603250000004</v>
      </c>
      <c r="N27" s="3">
        <f>+M27*(1+N28)</f>
        <v>7009.3383412500007</v>
      </c>
    </row>
    <row r="28" spans="1:15" x14ac:dyDescent="0.3">
      <c r="A28" s="42" t="s">
        <v>129</v>
      </c>
      <c r="B28" s="45" t="str">
        <f t="shared" ref="B28:I28" si="22">+IFERROR(B27/A27-1,"nm")</f>
        <v>nm</v>
      </c>
      <c r="C28" s="45">
        <f t="shared" si="22"/>
        <v>7.6190476190476142E-2</v>
      </c>
      <c r="D28" s="45">
        <f t="shared" si="22"/>
        <v>2.9498525073746285E-2</v>
      </c>
      <c r="E28" s="45">
        <f t="shared" si="22"/>
        <v>1.0642652476463343E-2</v>
      </c>
      <c r="F28" s="45">
        <f t="shared" si="22"/>
        <v>6.5208586472256025E-2</v>
      </c>
      <c r="G28" s="45">
        <f t="shared" si="22"/>
        <v>-0.11806083650190113</v>
      </c>
      <c r="H28" s="45">
        <f t="shared" si="22"/>
        <v>8.3854278939426541E-2</v>
      </c>
      <c r="I28" s="45">
        <f t="shared" si="22"/>
        <v>9.2283214001591007E-2</v>
      </c>
      <c r="J28" s="45">
        <f>+J29+J30</f>
        <v>0.05</v>
      </c>
      <c r="K28" s="45">
        <f>+K29+K30</f>
        <v>0.05</v>
      </c>
      <c r="L28" s="45">
        <f>+L29+L30</f>
        <v>0.05</v>
      </c>
      <c r="M28" s="45">
        <f>+M29+M30</f>
        <v>0.05</v>
      </c>
      <c r="N28" s="45">
        <f>+N29+N30</f>
        <v>0.05</v>
      </c>
    </row>
    <row r="29" spans="1:15" x14ac:dyDescent="0.3">
      <c r="A29" s="42" t="s">
        <v>137</v>
      </c>
      <c r="B29" s="45">
        <f>+'Historicals (2)'!B188</f>
        <v>0</v>
      </c>
      <c r="C29" s="45">
        <f>+'Historicals (2)'!C188</f>
        <v>-0.31331699346405228</v>
      </c>
      <c r="D29" s="45">
        <f>+'Historicals (2)'!D188</f>
        <v>2.9545905215149711E-2</v>
      </c>
      <c r="E29" s="45">
        <f>+'Historicals (2)'!E188</f>
        <v>0.13154853620955315</v>
      </c>
      <c r="F29" s="45">
        <f>+'Historicals (2)'!F188</f>
        <v>7.114893617021277E-2</v>
      </c>
      <c r="G29" s="45">
        <f>+'Historicals (2)'!G188</f>
        <v>-6.3721595423486418E-2</v>
      </c>
      <c r="H29" s="45">
        <f>+'Historicals (2)'!H188</f>
        <v>0.18295994568906992</v>
      </c>
      <c r="I29" s="45">
        <f>+'Historicals (2)'!I188</f>
        <v>0.09</v>
      </c>
      <c r="J29" s="47">
        <v>0.05</v>
      </c>
      <c r="K29" s="47">
        <f t="shared" ref="K29:N30" si="23">+J29</f>
        <v>0.05</v>
      </c>
      <c r="L29" s="47">
        <f t="shared" si="23"/>
        <v>0.05</v>
      </c>
      <c r="M29" s="47">
        <f t="shared" si="23"/>
        <v>0.05</v>
      </c>
      <c r="N29" s="47">
        <f t="shared" si="23"/>
        <v>0.05</v>
      </c>
    </row>
    <row r="30" spans="1:15" x14ac:dyDescent="0.3">
      <c r="A30" s="42" t="s">
        <v>138</v>
      </c>
      <c r="B30" s="45" t="str">
        <f t="shared" ref="B30:I30" si="24">+IFERROR(B28-B29,"nm")</f>
        <v>nm</v>
      </c>
      <c r="C30" s="45">
        <f t="shared" si="24"/>
        <v>0.38950746965452843</v>
      </c>
      <c r="D30" s="45">
        <f t="shared" si="24"/>
        <v>-4.7380141403426806E-5</v>
      </c>
      <c r="E30" s="45">
        <f t="shared" si="24"/>
        <v>-0.1209058837330898</v>
      </c>
      <c r="F30" s="45">
        <f t="shared" si="24"/>
        <v>-5.9403496979567455E-3</v>
      </c>
      <c r="G30" s="45">
        <f t="shared" si="24"/>
        <v>-5.4339241078414716E-2</v>
      </c>
      <c r="H30" s="45">
        <f t="shared" si="24"/>
        <v>-9.9105666749643384E-2</v>
      </c>
      <c r="I30" s="45">
        <f t="shared" si="24"/>
        <v>2.2832140015910107E-3</v>
      </c>
      <c r="J30" s="47">
        <v>0</v>
      </c>
      <c r="K30" s="47">
        <f t="shared" si="23"/>
        <v>0</v>
      </c>
      <c r="L30" s="47">
        <f t="shared" si="23"/>
        <v>0</v>
      </c>
      <c r="M30" s="47">
        <f t="shared" si="23"/>
        <v>0</v>
      </c>
      <c r="N30" s="47">
        <f t="shared" si="23"/>
        <v>0</v>
      </c>
    </row>
    <row r="31" spans="1:15" x14ac:dyDescent="0.3">
      <c r="A31" s="43" t="s">
        <v>115</v>
      </c>
      <c r="B31" s="3">
        <f>+'Historicals (2)'!B114</f>
        <v>824</v>
      </c>
      <c r="C31" s="3">
        <f>+'Historicals (2)'!C114</f>
        <v>719</v>
      </c>
      <c r="D31" s="3">
        <f>+'Historicals (2)'!D114</f>
        <v>646</v>
      </c>
      <c r="E31" s="3">
        <f>+'Historicals (2)'!E114</f>
        <v>595</v>
      </c>
      <c r="F31" s="3">
        <f>+'Historicals (2)'!F114</f>
        <v>597</v>
      </c>
      <c r="G31" s="3">
        <f>+'Historicals (2)'!G114</f>
        <v>516</v>
      </c>
      <c r="H31" s="3">
        <f>+'Historicals (2)'!H114</f>
        <v>507</v>
      </c>
      <c r="I31" s="3">
        <f>+'Historicals (2)'!I114</f>
        <v>633</v>
      </c>
      <c r="J31" s="3">
        <f>+I31*(1+J32)</f>
        <v>759.6</v>
      </c>
      <c r="K31" s="3">
        <f>+J31*(1+K32)</f>
        <v>911.52</v>
      </c>
      <c r="L31" s="3">
        <f>+K31*(1+L32)</f>
        <v>1093.8239999999998</v>
      </c>
      <c r="M31" s="3">
        <f>+L31*(1+M32)</f>
        <v>1312.5887999999998</v>
      </c>
      <c r="N31" s="3">
        <f>+M31*(1+N32)</f>
        <v>1575.1065599999997</v>
      </c>
    </row>
    <row r="32" spans="1:15" x14ac:dyDescent="0.3">
      <c r="A32" s="42" t="s">
        <v>129</v>
      </c>
      <c r="B32" s="45" t="str">
        <f t="shared" ref="B32:I32" si="25">+IFERROR(B31/A31-1,"nm")</f>
        <v>nm</v>
      </c>
      <c r="C32" s="45">
        <f t="shared" si="25"/>
        <v>-0.12742718446601942</v>
      </c>
      <c r="D32" s="45">
        <f t="shared" si="25"/>
        <v>-0.10152990264255912</v>
      </c>
      <c r="E32" s="45">
        <f t="shared" si="25"/>
        <v>-7.8947368421052655E-2</v>
      </c>
      <c r="F32" s="45">
        <f t="shared" si="25"/>
        <v>3.3613445378151141E-3</v>
      </c>
      <c r="G32" s="45">
        <f t="shared" si="25"/>
        <v>-0.13567839195979903</v>
      </c>
      <c r="H32" s="45">
        <f t="shared" si="25"/>
        <v>-1.744186046511631E-2</v>
      </c>
      <c r="I32" s="45">
        <f t="shared" si="25"/>
        <v>0.24852071005917153</v>
      </c>
      <c r="J32" s="45">
        <f>+J33+J34</f>
        <v>0.2</v>
      </c>
      <c r="K32" s="45">
        <f>+K33+K34</f>
        <v>0.2</v>
      </c>
      <c r="L32" s="45">
        <f>+L33+L34</f>
        <v>0.2</v>
      </c>
      <c r="M32" s="45">
        <f>+M33+M34</f>
        <v>0.2</v>
      </c>
      <c r="N32" s="45">
        <f>+N33+N34</f>
        <v>0.2</v>
      </c>
    </row>
    <row r="33" spans="1:14" x14ac:dyDescent="0.3">
      <c r="A33" s="42" t="s">
        <v>137</v>
      </c>
      <c r="B33" s="45">
        <f>+'Historicals (2)'!B186</f>
        <v>0</v>
      </c>
      <c r="C33" s="45">
        <f>+'Historicals (2)'!C186</f>
        <v>-0.12742718446601942</v>
      </c>
      <c r="D33" s="45">
        <f>+'Historicals (2)'!D186</f>
        <v>-0.10152990264255911</v>
      </c>
      <c r="E33" s="45">
        <f>+'Historicals (2)'!E186</f>
        <v>-7.8947368421052627E-2</v>
      </c>
      <c r="F33" s="45">
        <f>+'Historicals (2)'!F186</f>
        <v>3.3613445378151263E-3</v>
      </c>
      <c r="G33" s="45">
        <f>+'Historicals (2)'!G186</f>
        <v>-0.135678391959799</v>
      </c>
      <c r="H33" s="45">
        <f>+'Historicals (2)'!H186</f>
        <v>-1.7441860465116279E-2</v>
      </c>
      <c r="I33" s="45">
        <f>+'Historicals (2)'!I186</f>
        <v>0.25</v>
      </c>
      <c r="J33" s="47">
        <v>0.2</v>
      </c>
      <c r="K33" s="47">
        <f t="shared" ref="K33:N34" si="26">+J33</f>
        <v>0.2</v>
      </c>
      <c r="L33" s="47">
        <f t="shared" si="26"/>
        <v>0.2</v>
      </c>
      <c r="M33" s="47">
        <f t="shared" si="26"/>
        <v>0.2</v>
      </c>
      <c r="N33" s="47">
        <f t="shared" si="26"/>
        <v>0.2</v>
      </c>
    </row>
    <row r="34" spans="1:14" x14ac:dyDescent="0.3">
      <c r="A34" s="42" t="s">
        <v>138</v>
      </c>
      <c r="B34" s="45" t="str">
        <f t="shared" ref="B34:I34" si="27">+IFERROR(B32-B33,"nm")</f>
        <v>nm</v>
      </c>
      <c r="C34" s="45">
        <f t="shared" si="27"/>
        <v>0</v>
      </c>
      <c r="D34" s="45">
        <f t="shared" si="27"/>
        <v>-1.3877787807814457E-17</v>
      </c>
      <c r="E34" s="45">
        <f t="shared" si="27"/>
        <v>-2.7755575615628914E-17</v>
      </c>
      <c r="F34" s="45">
        <f t="shared" si="27"/>
        <v>-1.214306433183765E-17</v>
      </c>
      <c r="G34" s="45">
        <f t="shared" si="27"/>
        <v>-2.7755575615628914E-17</v>
      </c>
      <c r="H34" s="45">
        <f t="shared" si="27"/>
        <v>-3.1225022567582528E-17</v>
      </c>
      <c r="I34" s="45">
        <f t="shared" si="27"/>
        <v>-1.4792899408284654E-3</v>
      </c>
      <c r="J34" s="47">
        <v>0</v>
      </c>
      <c r="K34" s="47">
        <f t="shared" si="26"/>
        <v>0</v>
      </c>
      <c r="L34" s="47">
        <f t="shared" si="26"/>
        <v>0</v>
      </c>
      <c r="M34" s="47">
        <f t="shared" si="26"/>
        <v>0</v>
      </c>
      <c r="N34" s="47">
        <f t="shared" si="26"/>
        <v>0</v>
      </c>
    </row>
    <row r="35" spans="1:14" x14ac:dyDescent="0.3">
      <c r="A35" s="9" t="s">
        <v>130</v>
      </c>
      <c r="B35" s="46">
        <f t="shared" ref="B35:I35" si="28">+B42+B38</f>
        <v>3766</v>
      </c>
      <c r="C35" s="46">
        <f t="shared" si="28"/>
        <v>3896</v>
      </c>
      <c r="D35" s="46">
        <f t="shared" si="28"/>
        <v>4015</v>
      </c>
      <c r="E35" s="46">
        <f t="shared" si="28"/>
        <v>3760</v>
      </c>
      <c r="F35" s="46">
        <f t="shared" si="28"/>
        <v>4074</v>
      </c>
      <c r="G35" s="46">
        <f t="shared" si="28"/>
        <v>3047</v>
      </c>
      <c r="H35" s="46">
        <f t="shared" si="28"/>
        <v>5219</v>
      </c>
      <c r="I35" s="46">
        <f t="shared" si="28"/>
        <v>5238</v>
      </c>
      <c r="J35" s="46">
        <f>+J21*J37</f>
        <v>6692.3639999999996</v>
      </c>
      <c r="K35" s="46">
        <f>+K21*K37</f>
        <v>6978.6973200000002</v>
      </c>
      <c r="L35" s="46">
        <f>+L21*L37</f>
        <v>7284.6781896000002</v>
      </c>
      <c r="M35" s="46">
        <f>+M21*M37</f>
        <v>7612.8047987880009</v>
      </c>
      <c r="N35" s="46">
        <f>+N21*N37</f>
        <v>7966.0168986266408</v>
      </c>
    </row>
    <row r="36" spans="1:14" x14ac:dyDescent="0.3">
      <c r="A36" s="44" t="s">
        <v>129</v>
      </c>
      <c r="B36" s="45" t="str">
        <f t="shared" ref="B36:N36" si="29">+IFERROR(B35/A35-1,"nm")</f>
        <v>nm</v>
      </c>
      <c r="C36" s="45">
        <f t="shared" si="29"/>
        <v>3.4519383961763239E-2</v>
      </c>
      <c r="D36" s="45">
        <f t="shared" si="29"/>
        <v>3.0544147843942548E-2</v>
      </c>
      <c r="E36" s="45">
        <f t="shared" si="29"/>
        <v>-6.3511830635118338E-2</v>
      </c>
      <c r="F36" s="45">
        <f t="shared" si="29"/>
        <v>8.3510638297872308E-2</v>
      </c>
      <c r="G36" s="45">
        <f t="shared" si="29"/>
        <v>-0.25208640157093765</v>
      </c>
      <c r="H36" s="45">
        <f t="shared" si="29"/>
        <v>0.71283229405973092</v>
      </c>
      <c r="I36" s="45">
        <f t="shared" si="29"/>
        <v>3.6405441655489312E-3</v>
      </c>
      <c r="J36" s="45">
        <f t="shared" si="29"/>
        <v>0.27765635738831618</v>
      </c>
      <c r="K36" s="45">
        <f t="shared" si="29"/>
        <v>4.2785078635890095E-2</v>
      </c>
      <c r="L36" s="45">
        <f t="shared" si="29"/>
        <v>4.3844983607914889E-2</v>
      </c>
      <c r="M36" s="45">
        <f t="shared" si="29"/>
        <v>4.5043391162625568E-2</v>
      </c>
      <c r="N36" s="45">
        <f t="shared" si="29"/>
        <v>4.6397104506721742E-2</v>
      </c>
    </row>
    <row r="37" spans="1:14" x14ac:dyDescent="0.3">
      <c r="A37" s="44" t="s">
        <v>131</v>
      </c>
      <c r="B37" s="45">
        <f t="shared" ref="B37:I37" si="30">+IFERROR(B35/B$21,"nm")</f>
        <v>0.27409024745269289</v>
      </c>
      <c r="C37" s="45">
        <f t="shared" si="30"/>
        <v>0.2171562343236163</v>
      </c>
      <c r="D37" s="45">
        <f t="shared" si="30"/>
        <v>0.26386698212407994</v>
      </c>
      <c r="E37" s="45">
        <f t="shared" si="30"/>
        <v>0.25311342982160889</v>
      </c>
      <c r="F37" s="45">
        <f t="shared" si="30"/>
        <v>0.25619418941013711</v>
      </c>
      <c r="G37" s="45">
        <f t="shared" si="30"/>
        <v>0.2103700635183651</v>
      </c>
      <c r="H37" s="45">
        <f t="shared" si="30"/>
        <v>0.30380115256999823</v>
      </c>
      <c r="I37" s="45">
        <f t="shared" si="30"/>
        <v>0.28540293140086087</v>
      </c>
      <c r="J37" s="47">
        <v>0.35</v>
      </c>
      <c r="K37" s="47">
        <f>+J37</f>
        <v>0.35</v>
      </c>
      <c r="L37" s="47">
        <f>+K37</f>
        <v>0.35</v>
      </c>
      <c r="M37" s="47">
        <f>+L37</f>
        <v>0.35</v>
      </c>
      <c r="N37" s="47">
        <f>+M37</f>
        <v>0.35</v>
      </c>
    </row>
    <row r="38" spans="1:14" x14ac:dyDescent="0.3">
      <c r="A38" s="9" t="s">
        <v>132</v>
      </c>
      <c r="B38" s="9">
        <f>+'Historicals (2)'!B171</f>
        <v>121</v>
      </c>
      <c r="C38" s="9">
        <f>+'Historicals (2)'!C171</f>
        <v>133</v>
      </c>
      <c r="D38" s="9">
        <f>+'Historicals (2)'!D171</f>
        <v>140</v>
      </c>
      <c r="E38" s="9">
        <f>+'Historicals (2)'!E171</f>
        <v>160</v>
      </c>
      <c r="F38" s="9">
        <f>+'Historicals (2)'!F171</f>
        <v>149</v>
      </c>
      <c r="G38" s="9">
        <f>+'Historicals (2)'!G171</f>
        <v>148</v>
      </c>
      <c r="H38" s="9">
        <f>+'Historicals (2)'!H171</f>
        <v>130</v>
      </c>
      <c r="I38" s="9">
        <f>+'Historicals (2)'!I171</f>
        <v>124</v>
      </c>
      <c r="J38" s="46">
        <f>+J41*J48</f>
        <v>185.52495774647889</v>
      </c>
      <c r="K38" s="46">
        <f>+K41*K48</f>
        <v>193.46265765258215</v>
      </c>
      <c r="L38" s="46">
        <f>+L41*L48</f>
        <v>201.94502470610331</v>
      </c>
      <c r="M38" s="46">
        <f>+M41*M48</f>
        <v>211.0413134472864</v>
      </c>
      <c r="N38" s="46">
        <f>+N41*N48</f>
        <v>220.83301932253602</v>
      </c>
    </row>
    <row r="39" spans="1:14" x14ac:dyDescent="0.3">
      <c r="A39" s="44" t="s">
        <v>129</v>
      </c>
      <c r="B39" s="45" t="str">
        <f t="shared" ref="B39:N39" si="31">+IFERROR(B38/A38-1,"nm")</f>
        <v>nm</v>
      </c>
      <c r="C39" s="45">
        <f t="shared" si="31"/>
        <v>9.9173553719008156E-2</v>
      </c>
      <c r="D39" s="45">
        <f t="shared" si="31"/>
        <v>5.2631578947368363E-2</v>
      </c>
      <c r="E39" s="45">
        <f t="shared" si="31"/>
        <v>0.14285714285714279</v>
      </c>
      <c r="F39" s="45">
        <f t="shared" si="31"/>
        <v>-6.8749999999999978E-2</v>
      </c>
      <c r="G39" s="45">
        <f t="shared" si="31"/>
        <v>-6.7114093959731447E-3</v>
      </c>
      <c r="H39" s="45">
        <f t="shared" si="31"/>
        <v>-0.1216216216216216</v>
      </c>
      <c r="I39" s="45">
        <f t="shared" si="31"/>
        <v>-4.6153846153846101E-2</v>
      </c>
      <c r="J39" s="45">
        <f t="shared" si="31"/>
        <v>0.4961690140845072</v>
      </c>
      <c r="K39" s="45">
        <f t="shared" si="31"/>
        <v>4.2785078635889873E-2</v>
      </c>
      <c r="L39" s="45">
        <f t="shared" si="31"/>
        <v>4.3844983607915111E-2</v>
      </c>
      <c r="M39" s="45">
        <f t="shared" si="31"/>
        <v>4.5043391162625568E-2</v>
      </c>
      <c r="N39" s="45">
        <f t="shared" si="31"/>
        <v>4.6397104506721965E-2</v>
      </c>
    </row>
    <row r="40" spans="1:14" x14ac:dyDescent="0.3">
      <c r="A40" s="44" t="s">
        <v>133</v>
      </c>
      <c r="B40" s="45">
        <f t="shared" ref="B40:N40" si="32">+IFERROR(B38/B$21,"nm")</f>
        <v>8.8064046579330417E-3</v>
      </c>
      <c r="C40" s="45">
        <f t="shared" si="32"/>
        <v>7.4131876706984004E-3</v>
      </c>
      <c r="D40" s="45">
        <f t="shared" si="32"/>
        <v>9.2008412197686646E-3</v>
      </c>
      <c r="E40" s="45">
        <f t="shared" si="32"/>
        <v>1.0770784247728038E-2</v>
      </c>
      <c r="F40" s="45">
        <f t="shared" si="32"/>
        <v>9.3698905798012821E-3</v>
      </c>
      <c r="G40" s="45">
        <f t="shared" si="32"/>
        <v>1.0218171775752554E-2</v>
      </c>
      <c r="H40" s="45">
        <f t="shared" si="32"/>
        <v>7.5673787764130628E-3</v>
      </c>
      <c r="I40" s="45">
        <f t="shared" si="32"/>
        <v>6.7563886013185855E-3</v>
      </c>
      <c r="J40" s="45">
        <f t="shared" si="32"/>
        <v>9.7026604068857596E-3</v>
      </c>
      <c r="K40" s="45">
        <f t="shared" si="32"/>
        <v>9.7026604068857578E-3</v>
      </c>
      <c r="L40" s="45">
        <f t="shared" si="32"/>
        <v>9.7026604068857596E-3</v>
      </c>
      <c r="M40" s="45">
        <f t="shared" si="32"/>
        <v>9.7026604068857578E-3</v>
      </c>
      <c r="N40" s="45">
        <f t="shared" si="32"/>
        <v>9.7026604068857596E-3</v>
      </c>
    </row>
    <row r="41" spans="1:14" x14ac:dyDescent="0.3">
      <c r="A41" t="s">
        <v>140</v>
      </c>
      <c r="B41" s="67">
        <f t="shared" ref="B41:I41" si="33">+IFERROR(B38/B48,"nm")</f>
        <v>0.19145569620253164</v>
      </c>
      <c r="C41" s="67">
        <f t="shared" si="33"/>
        <v>0.17924528301886791</v>
      </c>
      <c r="D41" s="67">
        <f t="shared" si="33"/>
        <v>0.17094017094017094</v>
      </c>
      <c r="E41" s="67">
        <f t="shared" si="33"/>
        <v>0.18867924528301888</v>
      </c>
      <c r="F41" s="67">
        <f t="shared" si="33"/>
        <v>0.18304668304668303</v>
      </c>
      <c r="G41" s="67">
        <f t="shared" si="33"/>
        <v>0.22945736434108527</v>
      </c>
      <c r="H41" s="67">
        <f t="shared" si="33"/>
        <v>0.21069692058346839</v>
      </c>
      <c r="I41" s="67">
        <f t="shared" si="33"/>
        <v>0.19405320813771518</v>
      </c>
      <c r="J41" s="47">
        <f>+I41</f>
        <v>0.19405320813771518</v>
      </c>
      <c r="K41" s="47">
        <f>+J41</f>
        <v>0.19405320813771518</v>
      </c>
      <c r="L41" s="47">
        <f>+K41</f>
        <v>0.19405320813771518</v>
      </c>
      <c r="M41" s="47">
        <f>+L41</f>
        <v>0.19405320813771518</v>
      </c>
      <c r="N41" s="47">
        <f>+M41</f>
        <v>0.19405320813771518</v>
      </c>
    </row>
    <row r="42" spans="1:14" x14ac:dyDescent="0.3">
      <c r="A42" s="9" t="s">
        <v>134</v>
      </c>
      <c r="B42" s="9">
        <f>+'Historicals (2)'!B138</f>
        <v>3645</v>
      </c>
      <c r="C42" s="9">
        <f>+'Historicals (2)'!C138</f>
        <v>3763</v>
      </c>
      <c r="D42" s="9">
        <f>+'Historicals (2)'!D138</f>
        <v>3875</v>
      </c>
      <c r="E42" s="9">
        <f>+'Historicals (2)'!E138</f>
        <v>3600</v>
      </c>
      <c r="F42" s="9">
        <f>+'Historicals (2)'!F138</f>
        <v>3925</v>
      </c>
      <c r="G42" s="9">
        <f>+'Historicals (2)'!G138</f>
        <v>2899</v>
      </c>
      <c r="H42" s="9">
        <f>+'Historicals (2)'!H138</f>
        <v>5089</v>
      </c>
      <c r="I42" s="9">
        <f>+'Historicals (2)'!I138</f>
        <v>5114</v>
      </c>
      <c r="J42" s="9">
        <f>+J35-J38</f>
        <v>6506.8390422535203</v>
      </c>
      <c r="K42" s="9">
        <f>+K35-K38</f>
        <v>6785.2346623474177</v>
      </c>
      <c r="L42" s="9">
        <f>+L35-L38</f>
        <v>7082.7331648938971</v>
      </c>
      <c r="M42" s="9">
        <f>+M35-M38</f>
        <v>7401.7634853407144</v>
      </c>
      <c r="N42" s="9">
        <f>+N35-N38</f>
        <v>7745.1838793041052</v>
      </c>
    </row>
    <row r="43" spans="1:14" x14ac:dyDescent="0.3">
      <c r="A43" s="44" t="s">
        <v>129</v>
      </c>
      <c r="B43" s="45" t="str">
        <f t="shared" ref="B43:N43" si="34">+IFERROR(B42/A42-1,"nm")</f>
        <v>nm</v>
      </c>
      <c r="C43" s="45">
        <f t="shared" si="34"/>
        <v>3.2373113854595292E-2</v>
      </c>
      <c r="D43" s="45">
        <f t="shared" si="34"/>
        <v>2.9763486579856391E-2</v>
      </c>
      <c r="E43" s="45">
        <f t="shared" si="34"/>
        <v>-7.096774193548383E-2</v>
      </c>
      <c r="F43" s="45">
        <f t="shared" si="34"/>
        <v>9.0277777777777679E-2</v>
      </c>
      <c r="G43" s="45">
        <f t="shared" si="34"/>
        <v>-0.26140127388535028</v>
      </c>
      <c r="H43" s="45">
        <f t="shared" si="34"/>
        <v>0.75543290789927564</v>
      </c>
      <c r="I43" s="45">
        <f t="shared" si="34"/>
        <v>4.9125564943997002E-3</v>
      </c>
      <c r="J43" s="45">
        <f t="shared" si="34"/>
        <v>0.27235804502415339</v>
      </c>
      <c r="K43" s="45">
        <f t="shared" si="34"/>
        <v>4.2785078635890095E-2</v>
      </c>
      <c r="L43" s="45">
        <f t="shared" si="34"/>
        <v>4.3844983607915111E-2</v>
      </c>
      <c r="M43" s="45">
        <f t="shared" si="34"/>
        <v>4.5043391162625568E-2</v>
      </c>
      <c r="N43" s="45">
        <f t="shared" si="34"/>
        <v>4.6397104506721742E-2</v>
      </c>
    </row>
    <row r="44" spans="1:14" x14ac:dyDescent="0.3">
      <c r="A44" s="44" t="s">
        <v>131</v>
      </c>
      <c r="B44" s="45">
        <f t="shared" ref="B44:N44" si="35">+IFERROR(B42/B$21,"nm")</f>
        <v>0.26528384279475981</v>
      </c>
      <c r="C44" s="45">
        <f t="shared" si="35"/>
        <v>0.2097430466529179</v>
      </c>
      <c r="D44" s="45">
        <f t="shared" si="35"/>
        <v>0.25466614090431128</v>
      </c>
      <c r="E44" s="45">
        <f t="shared" si="35"/>
        <v>0.24234264557388085</v>
      </c>
      <c r="F44" s="45">
        <f t="shared" si="35"/>
        <v>0.2468242988303358</v>
      </c>
      <c r="G44" s="45">
        <f t="shared" si="35"/>
        <v>0.20015189174261253</v>
      </c>
      <c r="H44" s="45">
        <f t="shared" si="35"/>
        <v>0.29623377379358518</v>
      </c>
      <c r="I44" s="45">
        <f t="shared" si="35"/>
        <v>0.27864654279954232</v>
      </c>
      <c r="J44" s="45">
        <f t="shared" si="35"/>
        <v>0.3402973395931142</v>
      </c>
      <c r="K44" s="45">
        <f t="shared" si="35"/>
        <v>0.3402973395931142</v>
      </c>
      <c r="L44" s="45">
        <f t="shared" si="35"/>
        <v>0.34029733959311426</v>
      </c>
      <c r="M44" s="45">
        <f t="shared" si="35"/>
        <v>0.3402973395931142</v>
      </c>
      <c r="N44" s="45">
        <f t="shared" si="35"/>
        <v>0.3402973395931142</v>
      </c>
    </row>
    <row r="45" spans="1:14" x14ac:dyDescent="0.3">
      <c r="A45" s="9" t="s">
        <v>135</v>
      </c>
      <c r="B45" s="9">
        <f>+'Historicals (2)'!B160</f>
        <v>208</v>
      </c>
      <c r="C45" s="9">
        <f>+'Historicals (2)'!C160</f>
        <v>242</v>
      </c>
      <c r="D45" s="9">
        <f>+'Historicals (2)'!D160</f>
        <v>223</v>
      </c>
      <c r="E45" s="9">
        <f>+'Historicals (2)'!E160</f>
        <v>196</v>
      </c>
      <c r="F45" s="9">
        <f>+'Historicals (2)'!F160</f>
        <v>117</v>
      </c>
      <c r="G45" s="9">
        <f>+'Historicals (2)'!G160</f>
        <v>110</v>
      </c>
      <c r="H45" s="9">
        <f>+'Historicals (2)'!H160</f>
        <v>98</v>
      </c>
      <c r="I45" s="9">
        <f>+'Historicals (2)'!I160</f>
        <v>146</v>
      </c>
      <c r="J45" s="46">
        <f>+J21*J47</f>
        <v>152.10983708385552</v>
      </c>
      <c r="K45" s="46">
        <f>+K21*K47</f>
        <v>158.61786842478071</v>
      </c>
      <c r="L45" s="46">
        <f>+L21*L47</f>
        <v>165.57246626578763</v>
      </c>
      <c r="M45" s="46">
        <f>+M21*M47</f>
        <v>173.03041162955816</v>
      </c>
      <c r="N45" s="46">
        <f>+N21*N47</f>
        <v>181.05852172077587</v>
      </c>
    </row>
    <row r="46" spans="1:14" x14ac:dyDescent="0.3">
      <c r="A46" s="44" t="s">
        <v>129</v>
      </c>
      <c r="B46" s="45" t="str">
        <f t="shared" ref="B46:N46" si="36">+IFERROR(B45/A45-1,"nm")</f>
        <v>nm</v>
      </c>
      <c r="C46" s="45">
        <f t="shared" si="36"/>
        <v>0.16346153846153855</v>
      </c>
      <c r="D46" s="45">
        <f t="shared" si="36"/>
        <v>-7.8512396694214837E-2</v>
      </c>
      <c r="E46" s="45">
        <f t="shared" si="36"/>
        <v>-0.12107623318385652</v>
      </c>
      <c r="F46" s="45">
        <f t="shared" si="36"/>
        <v>-0.40306122448979587</v>
      </c>
      <c r="G46" s="45">
        <f t="shared" si="36"/>
        <v>-5.9829059829059839E-2</v>
      </c>
      <c r="H46" s="45">
        <f t="shared" si="36"/>
        <v>-0.10909090909090913</v>
      </c>
      <c r="I46" s="45">
        <f t="shared" si="36"/>
        <v>0.48979591836734704</v>
      </c>
      <c r="J46" s="45">
        <f t="shared" si="36"/>
        <v>4.18481992044899E-2</v>
      </c>
      <c r="K46" s="45">
        <f t="shared" si="36"/>
        <v>4.2785078635890095E-2</v>
      </c>
      <c r="L46" s="45">
        <f t="shared" si="36"/>
        <v>4.3844983607914889E-2</v>
      </c>
      <c r="M46" s="45">
        <f t="shared" si="36"/>
        <v>4.504339116262579E-2</v>
      </c>
      <c r="N46" s="45">
        <f t="shared" si="36"/>
        <v>4.6397104506721965E-2</v>
      </c>
    </row>
    <row r="47" spans="1:14" x14ac:dyDescent="0.3">
      <c r="A47" s="44" t="s">
        <v>133</v>
      </c>
      <c r="B47" s="45">
        <f t="shared" ref="B47:I47" si="37">+IFERROR(B45/B$21,"nm")</f>
        <v>1.5138282387190683E-2</v>
      </c>
      <c r="C47" s="45">
        <f t="shared" si="37"/>
        <v>1.34886572654813E-2</v>
      </c>
      <c r="D47" s="45">
        <f t="shared" si="37"/>
        <v>1.4655625657202945E-2</v>
      </c>
      <c r="E47" s="45">
        <f t="shared" si="37"/>
        <v>1.3194210703466847E-2</v>
      </c>
      <c r="F47" s="45">
        <f t="shared" si="37"/>
        <v>7.3575650861526856E-3</v>
      </c>
      <c r="G47" s="45">
        <f t="shared" si="37"/>
        <v>7.5945871306268989E-3</v>
      </c>
      <c r="H47" s="45">
        <f t="shared" si="37"/>
        <v>5.7046393852960009E-3</v>
      </c>
      <c r="I47" s="45">
        <f t="shared" si="37"/>
        <v>7.9551027080041418E-3</v>
      </c>
      <c r="J47" s="47">
        <f>+I47</f>
        <v>7.9551027080041418E-3</v>
      </c>
      <c r="K47" s="47">
        <f>+J47</f>
        <v>7.9551027080041418E-3</v>
      </c>
      <c r="L47" s="47">
        <f>+K47</f>
        <v>7.9551027080041418E-3</v>
      </c>
      <c r="M47" s="47">
        <f>+L47</f>
        <v>7.9551027080041418E-3</v>
      </c>
      <c r="N47" s="47">
        <f>+M47</f>
        <v>7.9551027080041418E-3</v>
      </c>
    </row>
    <row r="48" spans="1:14" x14ac:dyDescent="0.3">
      <c r="A48" s="9" t="s">
        <v>141</v>
      </c>
      <c r="B48" s="9">
        <f>+'Historicals (2)'!B149</f>
        <v>632</v>
      </c>
      <c r="C48" s="9">
        <f>+'Historicals (2)'!C149</f>
        <v>742</v>
      </c>
      <c r="D48" s="9">
        <f>+'Historicals (2)'!D149</f>
        <v>819</v>
      </c>
      <c r="E48" s="9">
        <f>+'Historicals (2)'!E149</f>
        <v>848</v>
      </c>
      <c r="F48" s="9">
        <f>+'Historicals (2)'!F149</f>
        <v>814</v>
      </c>
      <c r="G48" s="9">
        <f>+'Historicals (2)'!G149</f>
        <v>645</v>
      </c>
      <c r="H48" s="71">
        <f>+'Historicals (2)'!H149</f>
        <v>617</v>
      </c>
      <c r="I48" s="71">
        <f>+'Historicals (2)'!I149</f>
        <v>639</v>
      </c>
      <c r="J48" s="46">
        <f>+J21*J50</f>
        <v>956.05200000000013</v>
      </c>
      <c r="K48" s="46">
        <f>+K21*K50</f>
        <v>996.95676000000003</v>
      </c>
      <c r="L48" s="46">
        <f>+L21*L50</f>
        <v>1040.6683128000002</v>
      </c>
      <c r="M48" s="46">
        <f>+M21*M50</f>
        <v>1087.5435426840002</v>
      </c>
      <c r="N48" s="46">
        <f>+N21*N50</f>
        <v>1138.0024140895202</v>
      </c>
    </row>
    <row r="49" spans="1:14" x14ac:dyDescent="0.3">
      <c r="A49" s="44" t="s">
        <v>129</v>
      </c>
      <c r="B49" s="45" t="str">
        <f t="shared" ref="B49:I49" si="38">+IFERROR(B48/A48-1,"nm")</f>
        <v>nm</v>
      </c>
      <c r="C49" s="45">
        <f t="shared" si="38"/>
        <v>0.17405063291139244</v>
      </c>
      <c r="D49" s="45">
        <f t="shared" si="38"/>
        <v>0.10377358490566047</v>
      </c>
      <c r="E49" s="45">
        <f t="shared" si="38"/>
        <v>3.5409035409035505E-2</v>
      </c>
      <c r="F49" s="45">
        <f t="shared" si="38"/>
        <v>-4.0094339622641528E-2</v>
      </c>
      <c r="G49" s="45">
        <f t="shared" si="38"/>
        <v>-0.20761670761670759</v>
      </c>
      <c r="H49" s="45">
        <f t="shared" si="38"/>
        <v>-4.3410852713178349E-2</v>
      </c>
      <c r="I49" s="45">
        <f t="shared" si="38"/>
        <v>3.5656401944894611E-2</v>
      </c>
      <c r="J49" s="45">
        <f>+J50+J51</f>
        <v>0.05</v>
      </c>
      <c r="K49" s="45">
        <f>+K50+K51</f>
        <v>0.05</v>
      </c>
      <c r="L49" s="45">
        <f>+L50+L51</f>
        <v>0.05</v>
      </c>
      <c r="M49" s="45">
        <f>+M50+M51</f>
        <v>0.05</v>
      </c>
      <c r="N49" s="45">
        <f>+N50+N51</f>
        <v>0.05</v>
      </c>
    </row>
    <row r="50" spans="1:14" x14ac:dyDescent="0.3">
      <c r="A50" s="44" t="s">
        <v>133</v>
      </c>
      <c r="B50" s="45" t="str">
        <f>+IFERROR(B48/B$24,"nm")</f>
        <v>nm</v>
      </c>
      <c r="C50" s="45">
        <f t="shared" ref="C50:I50" si="39">+IFERROR(C48/C$21,"nm")</f>
        <v>4.1357783847054234E-2</v>
      </c>
      <c r="D50" s="45">
        <f t="shared" si="39"/>
        <v>5.3824921135646686E-2</v>
      </c>
      <c r="E50" s="45">
        <f t="shared" si="39"/>
        <v>5.7085156512958597E-2</v>
      </c>
      <c r="F50" s="45">
        <f t="shared" si="39"/>
        <v>5.1188529744686205E-2</v>
      </c>
      <c r="G50" s="45">
        <f t="shared" si="39"/>
        <v>4.4531897265948632E-2</v>
      </c>
      <c r="H50" s="45">
        <f t="shared" si="39"/>
        <v>3.5915943884975841E-2</v>
      </c>
      <c r="I50" s="45">
        <f t="shared" si="39"/>
        <v>3.4817196098730456E-2</v>
      </c>
      <c r="J50" s="47">
        <v>0.05</v>
      </c>
      <c r="K50" s="47">
        <f>+J50</f>
        <v>0.05</v>
      </c>
      <c r="L50" s="47">
        <f>+K50</f>
        <v>0.05</v>
      </c>
      <c r="M50" s="47">
        <f>+L50</f>
        <v>0.05</v>
      </c>
      <c r="N50" s="47">
        <f>+M50</f>
        <v>0.05</v>
      </c>
    </row>
    <row r="51" spans="1:14" x14ac:dyDescent="0.3">
      <c r="A51" s="41" t="str">
        <f>+'Historicals (2)'!A115</f>
        <v>Europe, Middle East &amp; Africa</v>
      </c>
      <c r="B51" s="41"/>
      <c r="C51" s="41"/>
      <c r="D51" s="41"/>
      <c r="E51" s="41"/>
      <c r="F51" s="41"/>
      <c r="G51" s="41"/>
      <c r="H51" s="41"/>
      <c r="I51" s="41"/>
      <c r="J51" s="37"/>
      <c r="K51" s="37"/>
      <c r="L51" s="37"/>
      <c r="M51" s="37"/>
      <c r="N51" s="37"/>
    </row>
    <row r="52" spans="1:14" x14ac:dyDescent="0.3">
      <c r="A52" s="9" t="s">
        <v>136</v>
      </c>
      <c r="B52" s="9">
        <f t="shared" ref="B52:I52" si="40">B54+B58+B62</f>
        <v>11024</v>
      </c>
      <c r="C52" s="9">
        <f t="shared" si="40"/>
        <v>7568</v>
      </c>
      <c r="D52" s="9">
        <f t="shared" si="40"/>
        <v>7970</v>
      </c>
      <c r="E52" s="9">
        <f t="shared" si="40"/>
        <v>9242</v>
      </c>
      <c r="F52" s="9">
        <f t="shared" si="40"/>
        <v>9812</v>
      </c>
      <c r="G52" s="9">
        <f t="shared" si="40"/>
        <v>9347</v>
      </c>
      <c r="H52" s="9">
        <f t="shared" si="40"/>
        <v>11456</v>
      </c>
      <c r="I52" s="9">
        <f t="shared" si="40"/>
        <v>12479</v>
      </c>
      <c r="J52" s="58">
        <f>+SUM(J54+J58+J62)</f>
        <v>14605.399999999998</v>
      </c>
      <c r="K52" s="58">
        <f>+SUM(K54+K58+K62)</f>
        <v>17101.669999999998</v>
      </c>
      <c r="L52" s="58">
        <f>+SUM(L54+L58+L62)</f>
        <v>20033.472499999996</v>
      </c>
      <c r="M52" s="58">
        <f>+SUM(M54+M58+M62)</f>
        <v>23478.355774999993</v>
      </c>
      <c r="N52" s="58">
        <f>+SUM(N54+N58+N62)</f>
        <v>27527.94402124999</v>
      </c>
    </row>
    <row r="53" spans="1:14" x14ac:dyDescent="0.3">
      <c r="A53" s="42" t="s">
        <v>129</v>
      </c>
      <c r="B53" s="45" t="str">
        <f t="shared" ref="B53:N53" si="41">+IFERROR(B52/A52-1,"nm")</f>
        <v>nm</v>
      </c>
      <c r="C53" s="45">
        <f t="shared" si="41"/>
        <v>-0.31349782293178519</v>
      </c>
      <c r="D53" s="45">
        <f t="shared" si="41"/>
        <v>5.3118393234672379E-2</v>
      </c>
      <c r="E53" s="45">
        <f t="shared" si="41"/>
        <v>0.15959849435382689</v>
      </c>
      <c r="F53" s="45">
        <f t="shared" si="41"/>
        <v>6.1674962129409261E-2</v>
      </c>
      <c r="G53" s="45">
        <f t="shared" si="41"/>
        <v>-4.7390949857317621E-2</v>
      </c>
      <c r="H53" s="45">
        <f t="shared" si="41"/>
        <v>0.22563389322777372</v>
      </c>
      <c r="I53" s="45">
        <f t="shared" si="41"/>
        <v>8.9298184357541999E-2</v>
      </c>
      <c r="J53" s="70">
        <f t="shared" si="41"/>
        <v>0.17039826909207445</v>
      </c>
      <c r="K53" s="70">
        <f t="shared" si="41"/>
        <v>0.17091418242567813</v>
      </c>
      <c r="L53" s="70">
        <f t="shared" si="41"/>
        <v>0.17143369624136118</v>
      </c>
      <c r="M53" s="70">
        <f t="shared" si="41"/>
        <v>0.17195637326479463</v>
      </c>
      <c r="N53" s="70">
        <f t="shared" si="41"/>
        <v>0.17248176512266866</v>
      </c>
    </row>
    <row r="54" spans="1:14" x14ac:dyDescent="0.3">
      <c r="A54" s="43" t="s">
        <v>113</v>
      </c>
      <c r="B54" s="3">
        <f>+'Historicals (2)'!B116</f>
        <v>7344</v>
      </c>
      <c r="C54" s="3">
        <f>+'Historicals (2)'!C116</f>
        <v>5043</v>
      </c>
      <c r="D54" s="3">
        <f>+'Historicals (2)'!D116</f>
        <v>5192</v>
      </c>
      <c r="E54" s="3">
        <f>+'Historicals (2)'!E116</f>
        <v>5875</v>
      </c>
      <c r="F54" s="3">
        <f>+'Historicals (2)'!F116</f>
        <v>6293</v>
      </c>
      <c r="G54" s="3">
        <f>+'Historicals (2)'!G116</f>
        <v>5892</v>
      </c>
      <c r="H54" s="3">
        <f>+'Historicals (2)'!H116</f>
        <v>6970</v>
      </c>
      <c r="I54" s="3">
        <f>+'Historicals (2)'!I116</f>
        <v>7388</v>
      </c>
      <c r="J54" s="58">
        <f>+I54*(1+J55)</f>
        <v>8496.1999999999989</v>
      </c>
      <c r="K54" s="58">
        <f>+J54*(1+K55)</f>
        <v>9770.6299999999974</v>
      </c>
      <c r="L54" s="58">
        <f>+K54*(1+L55)</f>
        <v>11236.224499999997</v>
      </c>
      <c r="M54" s="58">
        <f>+L54*(1+M55)</f>
        <v>12921.658174999995</v>
      </c>
      <c r="N54" s="58">
        <f>+M54*(1+N55)</f>
        <v>14859.906901249993</v>
      </c>
    </row>
    <row r="55" spans="1:14" x14ac:dyDescent="0.3">
      <c r="A55" s="42" t="s">
        <v>129</v>
      </c>
      <c r="B55" s="45" t="str">
        <f t="shared" ref="B55:I55" si="42">+IFERROR(B54/A54-1,"nm")</f>
        <v>nm</v>
      </c>
      <c r="C55" s="45">
        <f t="shared" si="42"/>
        <v>-0.31331699346405228</v>
      </c>
      <c r="D55" s="45">
        <f t="shared" si="42"/>
        <v>2.9545905215149659E-2</v>
      </c>
      <c r="E55" s="45">
        <f t="shared" si="42"/>
        <v>0.1315485362095532</v>
      </c>
      <c r="F55" s="45">
        <f t="shared" si="42"/>
        <v>7.1148936170212673E-2</v>
      </c>
      <c r="G55" s="45">
        <f t="shared" si="42"/>
        <v>-6.3721595423486432E-2</v>
      </c>
      <c r="H55" s="45">
        <f t="shared" si="42"/>
        <v>0.18295994568907004</v>
      </c>
      <c r="I55" s="45">
        <f t="shared" si="42"/>
        <v>5.9971305595408975E-2</v>
      </c>
      <c r="J55" s="70">
        <f>+J56+J57</f>
        <v>0.15</v>
      </c>
      <c r="K55" s="70">
        <f>+K56+K57</f>
        <v>0.15</v>
      </c>
      <c r="L55" s="70">
        <f>+L56+L57</f>
        <v>0.15</v>
      </c>
      <c r="M55" s="70">
        <f>+M56+M57</f>
        <v>0.15</v>
      </c>
      <c r="N55" s="70">
        <f>+N56+N57</f>
        <v>0.15</v>
      </c>
    </row>
    <row r="56" spans="1:14" x14ac:dyDescent="0.3">
      <c r="A56" s="42" t="s">
        <v>137</v>
      </c>
      <c r="B56" s="45">
        <f>+'Historicals (2)'!B188</f>
        <v>0</v>
      </c>
      <c r="C56" s="45">
        <f>+'Historicals (2)'!C188</f>
        <v>-0.31331699346405228</v>
      </c>
      <c r="D56" s="45">
        <f>+'Historicals (2)'!D188</f>
        <v>2.9545905215149711E-2</v>
      </c>
      <c r="E56" s="45">
        <f>+'Historicals (2)'!E188</f>
        <v>0.13154853620955315</v>
      </c>
      <c r="F56" s="45">
        <f>+'Historicals (2)'!F188</f>
        <v>7.114893617021277E-2</v>
      </c>
      <c r="G56" s="45">
        <f>+'Historicals (2)'!G188</f>
        <v>-6.3721595423486418E-2</v>
      </c>
      <c r="H56" s="45">
        <f>+'Historicals (2)'!H188</f>
        <v>0.18295994568906992</v>
      </c>
      <c r="I56" s="45">
        <f>+'Historicals (2)'!I188</f>
        <v>0.09</v>
      </c>
      <c r="J56" s="70">
        <v>0.15</v>
      </c>
      <c r="K56" s="70">
        <f t="shared" ref="K56:N57" si="43">+J56</f>
        <v>0.15</v>
      </c>
      <c r="L56" s="70">
        <f t="shared" si="43"/>
        <v>0.15</v>
      </c>
      <c r="M56" s="70">
        <f t="shared" si="43"/>
        <v>0.15</v>
      </c>
      <c r="N56" s="70">
        <f t="shared" si="43"/>
        <v>0.15</v>
      </c>
    </row>
    <row r="57" spans="1:14" x14ac:dyDescent="0.3">
      <c r="A57" s="42" t="s">
        <v>138</v>
      </c>
      <c r="B57" s="45" t="str">
        <f t="shared" ref="B57:I57" si="44">+IFERROR(B55-B56,"nm")</f>
        <v>nm</v>
      </c>
      <c r="C57" s="45">
        <f t="shared" si="44"/>
        <v>0</v>
      </c>
      <c r="D57" s="45">
        <f t="shared" si="44"/>
        <v>-5.2041704279304213E-17</v>
      </c>
      <c r="E57" s="45">
        <f t="shared" si="44"/>
        <v>5.5511151231257827E-17</v>
      </c>
      <c r="F57" s="45">
        <f t="shared" si="44"/>
        <v>-9.7144514654701197E-17</v>
      </c>
      <c r="G57" s="45">
        <f t="shared" si="44"/>
        <v>-1.3877787807814457E-17</v>
      </c>
      <c r="H57" s="45">
        <f t="shared" si="44"/>
        <v>1.1102230246251565E-16</v>
      </c>
      <c r="I57" s="45">
        <f t="shared" si="44"/>
        <v>-3.0028694404591022E-2</v>
      </c>
      <c r="J57" s="70">
        <v>0</v>
      </c>
      <c r="K57" s="70">
        <f t="shared" si="43"/>
        <v>0</v>
      </c>
      <c r="L57" s="70">
        <f t="shared" si="43"/>
        <v>0</v>
      </c>
      <c r="M57" s="70">
        <f t="shared" si="43"/>
        <v>0</v>
      </c>
      <c r="N57" s="70">
        <f t="shared" si="43"/>
        <v>0</v>
      </c>
    </row>
    <row r="58" spans="1:14" x14ac:dyDescent="0.3">
      <c r="A58" s="43" t="s">
        <v>114</v>
      </c>
      <c r="B58" s="3">
        <f>+'Historicals (2)'!B117</f>
        <v>3072</v>
      </c>
      <c r="C58" s="3">
        <f>+'Historicals (2)'!C117</f>
        <v>2149</v>
      </c>
      <c r="D58" s="3">
        <f>+'Historicals (2)'!D117</f>
        <v>2395</v>
      </c>
      <c r="E58" s="3">
        <f>+'Historicals (2)'!E117</f>
        <v>2940</v>
      </c>
      <c r="F58" s="3">
        <f>+'Historicals (2)'!F117</f>
        <v>3087</v>
      </c>
      <c r="G58" s="3">
        <f>+'Historicals (2)'!G117</f>
        <v>3053</v>
      </c>
      <c r="H58" s="3">
        <f>+'Historicals (2)'!H117</f>
        <v>3996</v>
      </c>
      <c r="I58" s="3">
        <f>+'Historicals (2)'!I117</f>
        <v>4527</v>
      </c>
      <c r="J58" s="58">
        <f>+I58*(1+J59)</f>
        <v>5432.4</v>
      </c>
      <c r="K58" s="58">
        <f>+J58*(1+K59)</f>
        <v>6518.8799999999992</v>
      </c>
      <c r="L58" s="58">
        <f>+K58*(1+L59)</f>
        <v>7822.655999999999</v>
      </c>
      <c r="M58" s="58">
        <f>+L58*(1+M59)</f>
        <v>9387.1871999999985</v>
      </c>
      <c r="N58" s="58">
        <f>+M58*(1+N59)</f>
        <v>11264.624639999998</v>
      </c>
    </row>
    <row r="59" spans="1:14" x14ac:dyDescent="0.3">
      <c r="A59" s="42" t="s">
        <v>129</v>
      </c>
      <c r="B59" s="45" t="str">
        <f t="shared" ref="B59:I59" si="45">+IFERROR(B58/A58-1,"nm")</f>
        <v>nm</v>
      </c>
      <c r="C59" s="45">
        <f t="shared" si="45"/>
        <v>-0.30045572916666663</v>
      </c>
      <c r="D59" s="45">
        <f t="shared" si="45"/>
        <v>0.11447184737087013</v>
      </c>
      <c r="E59" s="45">
        <f t="shared" si="45"/>
        <v>0.22755741127348639</v>
      </c>
      <c r="F59" s="45">
        <f t="shared" si="45"/>
        <v>5.0000000000000044E-2</v>
      </c>
      <c r="G59" s="45">
        <f t="shared" si="45"/>
        <v>-1.1013929381276322E-2</v>
      </c>
      <c r="H59" s="45">
        <f t="shared" si="45"/>
        <v>0.30887651490337364</v>
      </c>
      <c r="I59" s="45">
        <f t="shared" si="45"/>
        <v>0.13288288288288297</v>
      </c>
      <c r="J59" s="70">
        <f>+J60+J61</f>
        <v>0.2</v>
      </c>
      <c r="K59" s="70">
        <f>+K60+K61</f>
        <v>0.2</v>
      </c>
      <c r="L59" s="70">
        <f>+L60+L61</f>
        <v>0.2</v>
      </c>
      <c r="M59" s="70">
        <f>+M60+M61</f>
        <v>0.2</v>
      </c>
      <c r="N59" s="70">
        <f>+N60+N61</f>
        <v>0.2</v>
      </c>
    </row>
    <row r="60" spans="1:14" x14ac:dyDescent="0.3">
      <c r="A60" s="42" t="s">
        <v>137</v>
      </c>
      <c r="B60" s="45">
        <f>+'Historicals (2)'!B189</f>
        <v>0</v>
      </c>
      <c r="C60" s="45">
        <f>+'Historicals (2)'!C189</f>
        <v>-0.30045572916666669</v>
      </c>
      <c r="D60" s="45">
        <f>+'Historicals (2)'!D189</f>
        <v>0.11447184737087017</v>
      </c>
      <c r="E60" s="45">
        <f>+'Historicals (2)'!E189</f>
        <v>0.22755741127348644</v>
      </c>
      <c r="F60" s="45">
        <f>+'Historicals (2)'!F189</f>
        <v>0.05</v>
      </c>
      <c r="G60" s="45">
        <f>+'Historicals (2)'!G189</f>
        <v>-1.101392938127632E-2</v>
      </c>
      <c r="H60" s="45">
        <f>+'Historicals (2)'!H189</f>
        <v>0.30887651490337376</v>
      </c>
      <c r="I60" s="45">
        <f>+'Historicals (2)'!I189</f>
        <v>0.16</v>
      </c>
      <c r="J60" s="70">
        <v>0.2</v>
      </c>
      <c r="K60" s="70">
        <f t="shared" ref="K60:N61" si="46">+J60</f>
        <v>0.2</v>
      </c>
      <c r="L60" s="70">
        <f t="shared" si="46"/>
        <v>0.2</v>
      </c>
      <c r="M60" s="70">
        <f t="shared" si="46"/>
        <v>0.2</v>
      </c>
      <c r="N60" s="70">
        <f t="shared" si="46"/>
        <v>0.2</v>
      </c>
    </row>
    <row r="61" spans="1:14" x14ac:dyDescent="0.3">
      <c r="A61" s="42" t="s">
        <v>138</v>
      </c>
      <c r="B61" s="45" t="str">
        <f t="shared" ref="B61:I61" si="47">+IFERROR(B59-B60,"nm")</f>
        <v>nm</v>
      </c>
      <c r="C61" s="45">
        <f t="shared" si="47"/>
        <v>5.5511151231257827E-17</v>
      </c>
      <c r="D61" s="45">
        <f t="shared" si="47"/>
        <v>-4.163336342344337E-17</v>
      </c>
      <c r="E61" s="45">
        <f t="shared" si="47"/>
        <v>-5.5511151231257827E-17</v>
      </c>
      <c r="F61" s="45">
        <f t="shared" si="47"/>
        <v>4.163336342344337E-17</v>
      </c>
      <c r="G61" s="45">
        <f t="shared" si="47"/>
        <v>-1.7347234759768071E-18</v>
      </c>
      <c r="H61" s="45">
        <f t="shared" si="47"/>
        <v>-1.1102230246251565E-16</v>
      </c>
      <c r="I61" s="45">
        <f t="shared" si="47"/>
        <v>-2.7117117117117034E-2</v>
      </c>
      <c r="J61" s="70">
        <v>0</v>
      </c>
      <c r="K61" s="70">
        <f t="shared" si="46"/>
        <v>0</v>
      </c>
      <c r="L61" s="70">
        <f t="shared" si="46"/>
        <v>0</v>
      </c>
      <c r="M61" s="70">
        <f t="shared" si="46"/>
        <v>0</v>
      </c>
      <c r="N61" s="70">
        <f t="shared" si="46"/>
        <v>0</v>
      </c>
    </row>
    <row r="62" spans="1:14" x14ac:dyDescent="0.3">
      <c r="A62" s="43" t="s">
        <v>115</v>
      </c>
      <c r="B62" s="3">
        <f>+'Historicals (2)'!B118</f>
        <v>608</v>
      </c>
      <c r="C62" s="3">
        <f>+'Historicals (2)'!C118</f>
        <v>376</v>
      </c>
      <c r="D62" s="3">
        <f>+'Historicals (2)'!D118</f>
        <v>383</v>
      </c>
      <c r="E62" s="3">
        <f>+'Historicals (2)'!E118</f>
        <v>427</v>
      </c>
      <c r="F62" s="3">
        <f>+'Historicals (2)'!F118</f>
        <v>432</v>
      </c>
      <c r="G62" s="3">
        <f>+'Historicals (2)'!G118</f>
        <v>402</v>
      </c>
      <c r="H62" s="3">
        <f>+'Historicals (2)'!H118</f>
        <v>490</v>
      </c>
      <c r="I62" s="3">
        <f>+'Historicals (2)'!I118</f>
        <v>564</v>
      </c>
      <c r="J62" s="58">
        <f>+I62*(1+J63)</f>
        <v>676.8</v>
      </c>
      <c r="K62" s="58">
        <f>+J62*(1+K63)</f>
        <v>812.16</v>
      </c>
      <c r="L62" s="58">
        <f>+K62*(1+L63)</f>
        <v>974.59199999999987</v>
      </c>
      <c r="M62" s="58">
        <f>+L62*(1+M63)</f>
        <v>1169.5103999999999</v>
      </c>
      <c r="N62" s="58">
        <f>+M62*(1+N63)</f>
        <v>1403.4124799999997</v>
      </c>
    </row>
    <row r="63" spans="1:14" x14ac:dyDescent="0.3">
      <c r="A63" s="42" t="s">
        <v>129</v>
      </c>
      <c r="B63" s="45" t="str">
        <f t="shared" ref="B63:I63" si="48">+IFERROR(B62/A62-1,"nm")</f>
        <v>nm</v>
      </c>
      <c r="C63" s="45">
        <f t="shared" si="48"/>
        <v>-0.38157894736842102</v>
      </c>
      <c r="D63" s="45">
        <f t="shared" si="48"/>
        <v>1.8617021276595702E-2</v>
      </c>
      <c r="E63" s="45">
        <f t="shared" si="48"/>
        <v>0.11488250652741505</v>
      </c>
      <c r="F63" s="45">
        <f t="shared" si="48"/>
        <v>1.1709601873536313E-2</v>
      </c>
      <c r="G63" s="45">
        <f t="shared" si="48"/>
        <v>-6.944444444444442E-2</v>
      </c>
      <c r="H63" s="45">
        <f t="shared" si="48"/>
        <v>0.21890547263681581</v>
      </c>
      <c r="I63" s="45">
        <f t="shared" si="48"/>
        <v>0.15102040816326534</v>
      </c>
      <c r="J63" s="70">
        <f>+J64+J65</f>
        <v>0.2</v>
      </c>
      <c r="K63" s="70">
        <f>+K64+K65</f>
        <v>0.2</v>
      </c>
      <c r="L63" s="70">
        <f>+L64+L65</f>
        <v>0.2</v>
      </c>
      <c r="M63" s="70">
        <f>+M64+M65</f>
        <v>0.2</v>
      </c>
      <c r="N63" s="70">
        <f>+N64+N65</f>
        <v>0.2</v>
      </c>
    </row>
    <row r="64" spans="1:14" x14ac:dyDescent="0.3">
      <c r="A64" s="42" t="s">
        <v>137</v>
      </c>
      <c r="B64" s="45">
        <f>+'Historicals (2)'!B190</f>
        <v>0</v>
      </c>
      <c r="C64" s="45">
        <f>+'Historicals (2)'!C190</f>
        <v>-0.38157894736842107</v>
      </c>
      <c r="D64" s="45">
        <f>+'Historicals (2)'!D190</f>
        <v>1.8617021276595744E-2</v>
      </c>
      <c r="E64" s="45">
        <f>+'Historicals (2)'!E190</f>
        <v>0.11488250652741515</v>
      </c>
      <c r="F64" s="45">
        <f>+'Historicals (2)'!F190</f>
        <v>1.1709601873536301E-2</v>
      </c>
      <c r="G64" s="45">
        <f>+'Historicals (2)'!G190</f>
        <v>-6.9444444444444448E-2</v>
      </c>
      <c r="H64" s="45">
        <f>+'Historicals (2)'!H190</f>
        <v>0.21890547263681592</v>
      </c>
      <c r="I64" s="45">
        <f>+'Historicals (2)'!I190</f>
        <v>0.17</v>
      </c>
      <c r="J64" s="70">
        <v>0.2</v>
      </c>
      <c r="K64" s="70">
        <f t="shared" ref="K64:N65" si="49">+J64</f>
        <v>0.2</v>
      </c>
      <c r="L64" s="70">
        <f t="shared" si="49"/>
        <v>0.2</v>
      </c>
      <c r="M64" s="70">
        <f t="shared" si="49"/>
        <v>0.2</v>
      </c>
      <c r="N64" s="70">
        <f t="shared" si="49"/>
        <v>0.2</v>
      </c>
    </row>
    <row r="65" spans="1:14" x14ac:dyDescent="0.3">
      <c r="A65" s="42" t="s">
        <v>138</v>
      </c>
      <c r="B65" s="45" t="str">
        <f t="shared" ref="B65:I65" si="50">+IFERROR(B63-B64,"nm")</f>
        <v>nm</v>
      </c>
      <c r="C65" s="45">
        <f t="shared" si="50"/>
        <v>5.5511151231257827E-17</v>
      </c>
      <c r="D65" s="45">
        <f t="shared" si="50"/>
        <v>-4.163336342344337E-17</v>
      </c>
      <c r="E65" s="45">
        <f t="shared" si="50"/>
        <v>-9.7144514654701197E-17</v>
      </c>
      <c r="F65" s="45">
        <f t="shared" si="50"/>
        <v>1.214306433183765E-17</v>
      </c>
      <c r="G65" s="45">
        <f t="shared" si="50"/>
        <v>2.7755575615628914E-17</v>
      </c>
      <c r="H65" s="45">
        <f t="shared" si="50"/>
        <v>-1.1102230246251565E-16</v>
      </c>
      <c r="I65" s="45">
        <f t="shared" si="50"/>
        <v>-1.8979591836734672E-2</v>
      </c>
      <c r="J65" s="70">
        <v>0</v>
      </c>
      <c r="K65" s="70">
        <f t="shared" si="49"/>
        <v>0</v>
      </c>
      <c r="L65" s="70">
        <f t="shared" si="49"/>
        <v>0</v>
      </c>
      <c r="M65" s="70">
        <f t="shared" si="49"/>
        <v>0</v>
      </c>
      <c r="N65" s="70">
        <f t="shared" si="49"/>
        <v>0</v>
      </c>
    </row>
    <row r="66" spans="1:14" x14ac:dyDescent="0.3">
      <c r="A66" s="9" t="s">
        <v>130</v>
      </c>
      <c r="B66" s="46">
        <f t="shared" ref="B66:I66" si="51">+B73+B69</f>
        <v>2456</v>
      </c>
      <c r="C66" s="46">
        <f t="shared" si="51"/>
        <v>1872</v>
      </c>
      <c r="D66" s="46">
        <f t="shared" si="51"/>
        <v>1613</v>
      </c>
      <c r="E66" s="46">
        <f t="shared" si="51"/>
        <v>1703</v>
      </c>
      <c r="F66" s="46">
        <f t="shared" si="51"/>
        <v>2106</v>
      </c>
      <c r="G66" s="46">
        <f t="shared" si="51"/>
        <v>1673</v>
      </c>
      <c r="H66" s="46">
        <f t="shared" si="51"/>
        <v>2571</v>
      </c>
      <c r="I66" s="46">
        <f t="shared" si="51"/>
        <v>3427</v>
      </c>
      <c r="J66" s="58">
        <f>+J52*J68</f>
        <v>4381.619999999999</v>
      </c>
      <c r="K66" s="58">
        <f>+K52*K68</f>
        <v>5130.5009999999993</v>
      </c>
      <c r="L66" s="58">
        <f>+L52*L68</f>
        <v>6010.0417499999985</v>
      </c>
      <c r="M66" s="58">
        <f>+M52*M68</f>
        <v>7043.5067324999973</v>
      </c>
      <c r="N66" s="58">
        <f>+N52*N68</f>
        <v>8258.383206374996</v>
      </c>
    </row>
    <row r="67" spans="1:14" x14ac:dyDescent="0.3">
      <c r="A67" s="44" t="s">
        <v>129</v>
      </c>
      <c r="B67" s="45" t="str">
        <f t="shared" ref="B67:N67" si="52">+IFERROR(B66/A66-1,"nm")</f>
        <v>nm</v>
      </c>
      <c r="C67" s="45">
        <f t="shared" si="52"/>
        <v>-0.23778501628664495</v>
      </c>
      <c r="D67" s="45">
        <f t="shared" si="52"/>
        <v>-0.13835470085470081</v>
      </c>
      <c r="E67" s="45">
        <f t="shared" si="52"/>
        <v>5.5796652200867936E-2</v>
      </c>
      <c r="F67" s="45">
        <f t="shared" si="52"/>
        <v>0.23664122137404586</v>
      </c>
      <c r="G67" s="45">
        <f t="shared" si="52"/>
        <v>-0.20560303893637222</v>
      </c>
      <c r="H67" s="45">
        <f t="shared" si="52"/>
        <v>0.53676031081888831</v>
      </c>
      <c r="I67" s="45">
        <f t="shared" si="52"/>
        <v>0.33294437961882539</v>
      </c>
      <c r="J67" s="70">
        <f t="shared" si="52"/>
        <v>0.27855850598190801</v>
      </c>
      <c r="K67" s="70">
        <f t="shared" si="52"/>
        <v>0.17091418242567835</v>
      </c>
      <c r="L67" s="70">
        <f t="shared" si="52"/>
        <v>0.17143369624136118</v>
      </c>
      <c r="M67" s="70">
        <f t="shared" si="52"/>
        <v>0.17195637326479463</v>
      </c>
      <c r="N67" s="70">
        <f t="shared" si="52"/>
        <v>0.17248176512266844</v>
      </c>
    </row>
    <row r="68" spans="1:14" x14ac:dyDescent="0.3">
      <c r="A68" s="44" t="s">
        <v>131</v>
      </c>
      <c r="B68" s="45">
        <f t="shared" ref="B68:I68" si="53">+IFERROR(B66/B$52,"nm")</f>
        <v>0.22278664731494921</v>
      </c>
      <c r="C68" s="45">
        <f t="shared" si="53"/>
        <v>0.24735729386892177</v>
      </c>
      <c r="D68" s="45">
        <f t="shared" si="53"/>
        <v>0.20238393977415309</v>
      </c>
      <c r="E68" s="45">
        <f t="shared" si="53"/>
        <v>0.18426747457260334</v>
      </c>
      <c r="F68" s="45">
        <f t="shared" si="53"/>
        <v>0.21463514064410924</v>
      </c>
      <c r="G68" s="45">
        <f t="shared" si="53"/>
        <v>0.17898791055953783</v>
      </c>
      <c r="H68" s="45">
        <f t="shared" si="53"/>
        <v>0.22442388268156424</v>
      </c>
      <c r="I68" s="45">
        <f t="shared" si="53"/>
        <v>0.27462136389133746</v>
      </c>
      <c r="J68" s="70">
        <v>0.3</v>
      </c>
      <c r="K68" s="70">
        <f>+J68</f>
        <v>0.3</v>
      </c>
      <c r="L68" s="70">
        <f>+K68</f>
        <v>0.3</v>
      </c>
      <c r="M68" s="70">
        <f>+L68</f>
        <v>0.3</v>
      </c>
      <c r="N68" s="70">
        <f>+M68</f>
        <v>0.3</v>
      </c>
    </row>
    <row r="69" spans="1:14" x14ac:dyDescent="0.3">
      <c r="A69" s="9" t="s">
        <v>132</v>
      </c>
      <c r="B69" s="9">
        <f>+'Historicals (2)'!B172</f>
        <v>114</v>
      </c>
      <c r="C69" s="9">
        <f>+'Historicals (2)'!C172</f>
        <v>85</v>
      </c>
      <c r="D69" s="9">
        <f>+'Historicals (2)'!D172</f>
        <v>106</v>
      </c>
      <c r="E69" s="9">
        <f>+'Historicals (2)'!E172</f>
        <v>116</v>
      </c>
      <c r="F69" s="9">
        <f>+'Historicals (2)'!F172</f>
        <v>111</v>
      </c>
      <c r="G69" s="9">
        <f>+'Historicals (2)'!G172</f>
        <v>132</v>
      </c>
      <c r="H69" s="9">
        <f>+'Historicals (2)'!H172</f>
        <v>136</v>
      </c>
      <c r="I69" s="9">
        <f>+'Historicals (2)'!I172</f>
        <v>134</v>
      </c>
      <c r="J69" s="58">
        <f>+J72*J79</f>
        <v>191.4577434782608</v>
      </c>
      <c r="K69" s="58">
        <f>+K72*K79</f>
        <v>224.18058717391301</v>
      </c>
      <c r="L69" s="58">
        <f>+L72*L79</f>
        <v>262.61269385869559</v>
      </c>
      <c r="M69" s="58">
        <f>+M72*M79</f>
        <v>307.77062026793465</v>
      </c>
      <c r="N69" s="58">
        <f>+N72*N79</f>
        <v>360.85544010464656</v>
      </c>
    </row>
    <row r="70" spans="1:14" x14ac:dyDescent="0.3">
      <c r="A70" s="44" t="s">
        <v>129</v>
      </c>
      <c r="B70" s="45" t="str">
        <f t="shared" ref="B70:N70" si="54">+IFERROR(B69/A69-1,"nm")</f>
        <v>nm</v>
      </c>
      <c r="C70" s="45">
        <f t="shared" si="54"/>
        <v>-0.25438596491228072</v>
      </c>
      <c r="D70" s="45">
        <f t="shared" si="54"/>
        <v>0.24705882352941178</v>
      </c>
      <c r="E70" s="45">
        <f t="shared" si="54"/>
        <v>9.4339622641509413E-2</v>
      </c>
      <c r="F70" s="45">
        <f t="shared" si="54"/>
        <v>-4.31034482758621E-2</v>
      </c>
      <c r="G70" s="45">
        <f t="shared" si="54"/>
        <v>0.18918918918918926</v>
      </c>
      <c r="H70" s="45">
        <f t="shared" si="54"/>
        <v>3.0303030303030276E-2</v>
      </c>
      <c r="I70" s="45">
        <f t="shared" si="54"/>
        <v>-1.4705882352941124E-2</v>
      </c>
      <c r="J70" s="70">
        <f t="shared" si="54"/>
        <v>0.42878913043478195</v>
      </c>
      <c r="K70" s="70">
        <f t="shared" si="54"/>
        <v>0.17091418242567835</v>
      </c>
      <c r="L70" s="70">
        <f t="shared" si="54"/>
        <v>0.17143369624136118</v>
      </c>
      <c r="M70" s="70">
        <f t="shared" si="54"/>
        <v>0.1719563732647944</v>
      </c>
      <c r="N70" s="70">
        <f t="shared" si="54"/>
        <v>0.17248176512266844</v>
      </c>
    </row>
    <row r="71" spans="1:14" x14ac:dyDescent="0.3">
      <c r="A71" s="44" t="s">
        <v>133</v>
      </c>
      <c r="B71" s="45">
        <f t="shared" ref="B71:I71" si="55">+IFERROR(B69/B$52,"nm")</f>
        <v>1.0341074020319304E-2</v>
      </c>
      <c r="C71" s="45">
        <f t="shared" si="55"/>
        <v>1.1231501057082453E-2</v>
      </c>
      <c r="D71" s="45">
        <f t="shared" si="55"/>
        <v>1.3299874529485571E-2</v>
      </c>
      <c r="E71" s="45">
        <f t="shared" si="55"/>
        <v>1.2551395801774508E-2</v>
      </c>
      <c r="F71" s="45">
        <f t="shared" si="55"/>
        <v>1.1312678353037097E-2</v>
      </c>
      <c r="G71" s="45">
        <f t="shared" si="55"/>
        <v>1.4122178239007167E-2</v>
      </c>
      <c r="H71" s="45">
        <f t="shared" si="55"/>
        <v>1.1871508379888268E-2</v>
      </c>
      <c r="I71" s="45">
        <f t="shared" si="55"/>
        <v>1.0738039907043834E-2</v>
      </c>
      <c r="J71" s="70">
        <f>+IFERROR(J69/J$21,"nm")</f>
        <v>1.0012935670772133E-2</v>
      </c>
      <c r="K71" s="70">
        <f>+IFERROR(K69/K$21,"nm")</f>
        <v>1.1243245252377496E-2</v>
      </c>
      <c r="L71" s="70">
        <f>+IFERROR(L69/L$21,"nm")</f>
        <v>1.2617502168011413E-2</v>
      </c>
      <c r="M71" s="70">
        <f>+IFERROR(M69/M$21,"nm")</f>
        <v>1.4149806798005208E-2</v>
      </c>
      <c r="N71" s="70">
        <f>+IFERROR(N69/N$21,"nm")</f>
        <v>1.5854774807018121E-2</v>
      </c>
    </row>
    <row r="72" spans="1:14" x14ac:dyDescent="0.3">
      <c r="A72" s="44" t="s">
        <v>140</v>
      </c>
      <c r="B72" s="45">
        <f t="shared" ref="B72:I72" si="56">+IFERROR(B69/B79,"nm")</f>
        <v>0.18968386023294509</v>
      </c>
      <c r="C72" s="45">
        <f t="shared" si="56"/>
        <v>0.11363636363636363</v>
      </c>
      <c r="D72" s="45">
        <f t="shared" si="56"/>
        <v>0.14950634696755993</v>
      </c>
      <c r="E72" s="45">
        <f t="shared" si="56"/>
        <v>0.13663133097762073</v>
      </c>
      <c r="F72" s="45">
        <f t="shared" si="56"/>
        <v>0.11948331539289558</v>
      </c>
      <c r="G72" s="45">
        <f t="shared" si="56"/>
        <v>0.14915254237288136</v>
      </c>
      <c r="H72" s="45">
        <f t="shared" si="56"/>
        <v>0.1384928716904277</v>
      </c>
      <c r="I72" s="45">
        <f t="shared" si="56"/>
        <v>0.14565217391304347</v>
      </c>
      <c r="J72" s="70">
        <f>+I72</f>
        <v>0.14565217391304347</v>
      </c>
      <c r="K72" s="70">
        <f>+J72</f>
        <v>0.14565217391304347</v>
      </c>
      <c r="L72" s="70">
        <f>+K72</f>
        <v>0.14565217391304347</v>
      </c>
      <c r="M72" s="70">
        <f>+L72</f>
        <v>0.14565217391304347</v>
      </c>
      <c r="N72" s="70">
        <f>+M72</f>
        <v>0.14565217391304347</v>
      </c>
    </row>
    <row r="73" spans="1:14" x14ac:dyDescent="0.3">
      <c r="A73" s="9" t="s">
        <v>134</v>
      </c>
      <c r="B73" s="9">
        <f>+'Historicals (2)'!B139</f>
        <v>2342</v>
      </c>
      <c r="C73" s="9">
        <f>+'Historicals (2)'!C139</f>
        <v>1787</v>
      </c>
      <c r="D73" s="9">
        <f>+'Historicals (2)'!D139</f>
        <v>1507</v>
      </c>
      <c r="E73" s="9">
        <f>+'Historicals (2)'!E139</f>
        <v>1587</v>
      </c>
      <c r="F73" s="9">
        <f>+'Historicals (2)'!F139</f>
        <v>1995</v>
      </c>
      <c r="G73" s="9">
        <f>+'Historicals (2)'!G139</f>
        <v>1541</v>
      </c>
      <c r="H73" s="9">
        <f>+'Historicals (2)'!H139</f>
        <v>2435</v>
      </c>
      <c r="I73" s="9">
        <f>+'Historicals (2)'!I139</f>
        <v>3293</v>
      </c>
      <c r="J73" s="58">
        <f>+J66-J69</f>
        <v>4190.1622565217385</v>
      </c>
      <c r="K73" s="58">
        <f>+K66-K69</f>
        <v>4906.3204128260859</v>
      </c>
      <c r="L73" s="58">
        <f>+L66-L69</f>
        <v>5747.4290561413027</v>
      </c>
      <c r="M73" s="58">
        <f>+M66-M69</f>
        <v>6735.7361122320626</v>
      </c>
      <c r="N73" s="58">
        <f>+N66-N69</f>
        <v>7897.5277662703493</v>
      </c>
    </row>
    <row r="74" spans="1:14" x14ac:dyDescent="0.3">
      <c r="A74" s="44" t="s">
        <v>129</v>
      </c>
      <c r="B74" s="45" t="str">
        <f t="shared" ref="B74:N74" si="57">+IFERROR(B73/A73-1,"nm")</f>
        <v>nm</v>
      </c>
      <c r="C74" s="45">
        <f t="shared" si="57"/>
        <v>-0.23697694278394532</v>
      </c>
      <c r="D74" s="45">
        <f t="shared" si="57"/>
        <v>-0.15668718522663683</v>
      </c>
      <c r="E74" s="45">
        <f t="shared" si="57"/>
        <v>5.3085600530855981E-2</v>
      </c>
      <c r="F74" s="45">
        <f t="shared" si="57"/>
        <v>0.25708884688090738</v>
      </c>
      <c r="G74" s="45">
        <f t="shared" si="57"/>
        <v>-0.22756892230576442</v>
      </c>
      <c r="H74" s="45">
        <f t="shared" si="57"/>
        <v>0.58014276443867629</v>
      </c>
      <c r="I74" s="45">
        <f t="shared" si="57"/>
        <v>0.3523613963039014</v>
      </c>
      <c r="J74" s="70">
        <f t="shared" si="57"/>
        <v>0.27244526465889418</v>
      </c>
      <c r="K74" s="70">
        <f t="shared" si="57"/>
        <v>0.17091418242567813</v>
      </c>
      <c r="L74" s="70">
        <f t="shared" si="57"/>
        <v>0.17143369624136118</v>
      </c>
      <c r="M74" s="70">
        <f t="shared" si="57"/>
        <v>0.17195637326479463</v>
      </c>
      <c r="N74" s="70">
        <f t="shared" si="57"/>
        <v>0.17248176512266844</v>
      </c>
    </row>
    <row r="75" spans="1:14" x14ac:dyDescent="0.3">
      <c r="A75" s="44" t="s">
        <v>131</v>
      </c>
      <c r="B75" s="45">
        <f t="shared" ref="B75:I75" si="58">+IFERROR(B73/B$52,"nm")</f>
        <v>0.2124455732946299</v>
      </c>
      <c r="C75" s="45">
        <f t="shared" si="58"/>
        <v>0.23612579281183932</v>
      </c>
      <c r="D75" s="45">
        <f t="shared" si="58"/>
        <v>0.1890840652446675</v>
      </c>
      <c r="E75" s="45">
        <f t="shared" si="58"/>
        <v>0.17171607877082881</v>
      </c>
      <c r="F75" s="45">
        <f t="shared" si="58"/>
        <v>0.20332246229107215</v>
      </c>
      <c r="G75" s="45">
        <f t="shared" si="58"/>
        <v>0.16486573232053064</v>
      </c>
      <c r="H75" s="45">
        <f t="shared" si="58"/>
        <v>0.21255237430167598</v>
      </c>
      <c r="I75" s="45">
        <f t="shared" si="58"/>
        <v>0.26388332398429359</v>
      </c>
      <c r="J75" s="70">
        <f>+IFERROR(J73/J$21,"nm")</f>
        <v>0.21913882594888867</v>
      </c>
      <c r="K75" s="70">
        <f>+IFERROR(K73/K$21,"nm")</f>
        <v>0.24606485505078904</v>
      </c>
      <c r="L75" s="70">
        <f>+IFERROR(L73/L$21,"nm")</f>
        <v>0.27614125391583183</v>
      </c>
      <c r="M75" s="70">
        <f>+IFERROR(M73/M$21,"nm")</f>
        <v>0.30967661743494979</v>
      </c>
      <c r="N75" s="70">
        <f>+IFERROR(N73/N$21,"nm")</f>
        <v>0.3469908177914065</v>
      </c>
    </row>
    <row r="76" spans="1:14" x14ac:dyDescent="0.3">
      <c r="A76" s="9" t="s">
        <v>135</v>
      </c>
      <c r="B76" s="9">
        <f>+'Historicals (2)'!B161</f>
        <v>273</v>
      </c>
      <c r="C76" s="9">
        <f>+'Historicals (2)'!C161</f>
        <v>234</v>
      </c>
      <c r="D76" s="9">
        <f>+'Historicals (2)'!D161</f>
        <v>173</v>
      </c>
      <c r="E76" s="9">
        <f>+'Historicals (2)'!E161</f>
        <v>240</v>
      </c>
      <c r="F76" s="9">
        <f>+'Historicals (2)'!F161</f>
        <v>233</v>
      </c>
      <c r="G76" s="9">
        <f>+'Historicals (2)'!G161</f>
        <v>139</v>
      </c>
      <c r="H76" s="9">
        <f>+'Historicals (2)'!H161</f>
        <v>153</v>
      </c>
      <c r="I76" s="9">
        <f>+'Historicals (2)'!I161</f>
        <v>197</v>
      </c>
      <c r="J76" s="58">
        <f>+J52*J78</f>
        <v>230.56845901113866</v>
      </c>
      <c r="K76" s="58">
        <f>+K52*K78</f>
        <v>269.97587867617591</v>
      </c>
      <c r="L76" s="58">
        <f>+L52*L78</f>
        <v>316.25884145364205</v>
      </c>
      <c r="M76" s="58">
        <f>+M52*M78</f>
        <v>370.64156484293596</v>
      </c>
      <c r="N76" s="58">
        <f>+N52*N78</f>
        <v>434.57047617487359</v>
      </c>
    </row>
    <row r="77" spans="1:14" x14ac:dyDescent="0.3">
      <c r="A77" s="44" t="s">
        <v>129</v>
      </c>
      <c r="B77" s="45" t="str">
        <f t="shared" ref="B77:I77" si="59">+IFERROR(B76/A76-1,"nm")</f>
        <v>nm</v>
      </c>
      <c r="C77" s="45">
        <f t="shared" si="59"/>
        <v>-0.1428571428571429</v>
      </c>
      <c r="D77" s="45">
        <f t="shared" si="59"/>
        <v>-0.26068376068376065</v>
      </c>
      <c r="E77" s="45">
        <f t="shared" si="59"/>
        <v>0.38728323699421963</v>
      </c>
      <c r="F77" s="45">
        <f t="shared" si="59"/>
        <v>-2.9166666666666674E-2</v>
      </c>
      <c r="G77" s="45">
        <f t="shared" si="59"/>
        <v>-0.40343347639484983</v>
      </c>
      <c r="H77" s="45">
        <f t="shared" si="59"/>
        <v>0.10071942446043169</v>
      </c>
      <c r="I77" s="45">
        <f t="shared" si="59"/>
        <v>0.28758169934640532</v>
      </c>
      <c r="J77" s="70">
        <v>0</v>
      </c>
      <c r="K77" s="70">
        <f>+IFERROR(K76/J76-1,"nm")</f>
        <v>0.17091418242567813</v>
      </c>
      <c r="L77" s="70">
        <f>+IFERROR(L76/K76-1,"nm")</f>
        <v>0.17143369624136118</v>
      </c>
      <c r="M77" s="70">
        <f>+IFERROR(M76/L76-1,"nm")</f>
        <v>0.1719563732647944</v>
      </c>
      <c r="N77" s="70">
        <f>+IFERROR(N76/M76-1,"nm")</f>
        <v>0.17248176512266866</v>
      </c>
    </row>
    <row r="78" spans="1:14" x14ac:dyDescent="0.3">
      <c r="A78" s="44" t="s">
        <v>133</v>
      </c>
      <c r="B78" s="45">
        <f t="shared" ref="B78:I78" si="60">+IFERROR(B76/B$52,"nm")</f>
        <v>2.4764150943396228E-2</v>
      </c>
      <c r="C78" s="45">
        <f t="shared" si="60"/>
        <v>3.0919661733615222E-2</v>
      </c>
      <c r="D78" s="45">
        <f t="shared" si="60"/>
        <v>2.1706398996235884E-2</v>
      </c>
      <c r="E78" s="45">
        <f t="shared" si="60"/>
        <v>2.5968405107119671E-2</v>
      </c>
      <c r="F78" s="45">
        <f t="shared" si="60"/>
        <v>2.3746432939258051E-2</v>
      </c>
      <c r="G78" s="45">
        <f t="shared" si="60"/>
        <v>1.4871081630469669E-2</v>
      </c>
      <c r="H78" s="45">
        <f t="shared" si="60"/>
        <v>1.3355446927374302E-2</v>
      </c>
      <c r="I78" s="45">
        <f t="shared" si="60"/>
        <v>1.5786521355877874E-2</v>
      </c>
      <c r="J78" s="70">
        <f>+I78</f>
        <v>1.5786521355877874E-2</v>
      </c>
      <c r="K78" s="70">
        <f>+J78</f>
        <v>1.5786521355877874E-2</v>
      </c>
      <c r="L78" s="70">
        <f>+K78</f>
        <v>1.5786521355877874E-2</v>
      </c>
      <c r="M78" s="70">
        <f>+L78</f>
        <v>1.5786521355877874E-2</v>
      </c>
      <c r="N78" s="70">
        <f>+M78</f>
        <v>1.5786521355877874E-2</v>
      </c>
    </row>
    <row r="79" spans="1:14" x14ac:dyDescent="0.3">
      <c r="A79" s="9" t="s">
        <v>141</v>
      </c>
      <c r="B79" s="9">
        <f>+'Historicals (2)'!B150</f>
        <v>601</v>
      </c>
      <c r="C79" s="9">
        <f>+'Historicals (2)'!C150</f>
        <v>748</v>
      </c>
      <c r="D79" s="9">
        <f>+'Historicals (2)'!D150</f>
        <v>709</v>
      </c>
      <c r="E79" s="9">
        <f>+'Historicals (2)'!E150</f>
        <v>849</v>
      </c>
      <c r="F79" s="9">
        <f>+'Historicals (2)'!F150</f>
        <v>929</v>
      </c>
      <c r="G79" s="9">
        <f>+'Historicals (2)'!G150</f>
        <v>885</v>
      </c>
      <c r="H79" s="71">
        <f>+'Historicals (2)'!H150</f>
        <v>982</v>
      </c>
      <c r="I79" s="71">
        <f>+'Historicals (2)'!I150</f>
        <v>920</v>
      </c>
      <c r="J79" s="58">
        <f>+J52*J81</f>
        <v>1314.4859999999996</v>
      </c>
      <c r="K79" s="58">
        <f>+K52*K81</f>
        <v>1539.1502999999998</v>
      </c>
      <c r="L79" s="58">
        <f>+L52*L81</f>
        <v>1803.0125249999996</v>
      </c>
      <c r="M79" s="58">
        <f>+M52*M81</f>
        <v>2113.0520197499991</v>
      </c>
      <c r="N79" s="58">
        <f>+N52*N81</f>
        <v>2477.5149619124991</v>
      </c>
    </row>
    <row r="80" spans="1:14" x14ac:dyDescent="0.3">
      <c r="A80" s="44" t="s">
        <v>129</v>
      </c>
      <c r="B80" s="45" t="str">
        <f t="shared" ref="B80:I80" si="61">+IFERROR(B79/A79-1,"nm")</f>
        <v>nm</v>
      </c>
      <c r="C80" s="45">
        <f t="shared" si="61"/>
        <v>0.24459234608985025</v>
      </c>
      <c r="D80" s="45">
        <f t="shared" si="61"/>
        <v>-5.2139037433155067E-2</v>
      </c>
      <c r="E80" s="45">
        <f t="shared" si="61"/>
        <v>0.19746121297602248</v>
      </c>
      <c r="F80" s="45">
        <f t="shared" si="61"/>
        <v>9.4228504122497059E-2</v>
      </c>
      <c r="G80" s="45">
        <f t="shared" si="61"/>
        <v>-4.7362755651237931E-2</v>
      </c>
      <c r="H80" s="45">
        <f t="shared" si="61"/>
        <v>0.1096045197740112</v>
      </c>
      <c r="I80" s="45">
        <f t="shared" si="61"/>
        <v>-6.313645621181263E-2</v>
      </c>
      <c r="J80" s="70">
        <f>+J81+J82</f>
        <v>0.09</v>
      </c>
      <c r="K80" s="70">
        <f>+K81+K82</f>
        <v>0.09</v>
      </c>
      <c r="L80" s="70">
        <f>+L81+L82</f>
        <v>0.09</v>
      </c>
      <c r="M80" s="70">
        <f>+M81+M82</f>
        <v>0.09</v>
      </c>
      <c r="N80" s="70">
        <f>+N81+N82</f>
        <v>0.09</v>
      </c>
    </row>
    <row r="81" spans="1:14" x14ac:dyDescent="0.3">
      <c r="A81" s="44" t="s">
        <v>133</v>
      </c>
      <c r="B81" s="45">
        <f t="shared" ref="B81:I81" si="62">+IFERROR(B79/B$52,"nm")</f>
        <v>5.4517416545718435E-2</v>
      </c>
      <c r="C81" s="45">
        <f t="shared" si="62"/>
        <v>9.8837209302325577E-2</v>
      </c>
      <c r="D81" s="45">
        <f t="shared" si="62"/>
        <v>8.8958594730238399E-2</v>
      </c>
      <c r="E81" s="45">
        <f t="shared" si="62"/>
        <v>9.1863233066435832E-2</v>
      </c>
      <c r="F81" s="45">
        <f t="shared" si="62"/>
        <v>9.4679983693436609E-2</v>
      </c>
      <c r="G81" s="45">
        <f t="shared" si="62"/>
        <v>9.4682785920616241E-2</v>
      </c>
      <c r="H81" s="45">
        <f t="shared" si="62"/>
        <v>8.5719273743016758E-2</v>
      </c>
      <c r="I81" s="45">
        <f t="shared" si="62"/>
        <v>7.37238560782114E-2</v>
      </c>
      <c r="J81" s="70">
        <v>0.09</v>
      </c>
      <c r="K81" s="70">
        <f>+J81</f>
        <v>0.09</v>
      </c>
      <c r="L81" s="70">
        <f>+K81</f>
        <v>0.09</v>
      </c>
      <c r="M81" s="70">
        <f>+L81</f>
        <v>0.09</v>
      </c>
      <c r="N81" s="70">
        <f>+M81</f>
        <v>0.09</v>
      </c>
    </row>
    <row r="82" spans="1:14" x14ac:dyDescent="0.3">
      <c r="A82" s="41" t="str">
        <f>+'Historicals (2)'!A119</f>
        <v>Greater China</v>
      </c>
      <c r="B82" s="41"/>
      <c r="C82" s="41"/>
      <c r="D82" s="41"/>
      <c r="E82" s="41"/>
      <c r="F82" s="41"/>
      <c r="G82" s="41"/>
      <c r="H82" s="41"/>
      <c r="I82" s="41"/>
      <c r="J82" s="37"/>
      <c r="K82" s="37"/>
      <c r="L82" s="37"/>
      <c r="M82" s="37"/>
      <c r="N82" s="37"/>
    </row>
    <row r="83" spans="1:14" x14ac:dyDescent="0.3">
      <c r="A83" s="72" t="s">
        <v>224</v>
      </c>
      <c r="B83" s="72">
        <f t="shared" ref="B83:I83" si="63">B85+B89+B93</f>
        <v>3067</v>
      </c>
      <c r="C83" s="72">
        <f t="shared" si="63"/>
        <v>3785</v>
      </c>
      <c r="D83" s="72">
        <f t="shared" si="63"/>
        <v>4237</v>
      </c>
      <c r="E83" s="72">
        <f t="shared" si="63"/>
        <v>5134</v>
      </c>
      <c r="F83" s="72">
        <f t="shared" si="63"/>
        <v>6208</v>
      </c>
      <c r="G83" s="72">
        <f t="shared" si="63"/>
        <v>6679</v>
      </c>
      <c r="H83" s="72">
        <f t="shared" si="63"/>
        <v>8290</v>
      </c>
      <c r="I83" s="72">
        <f t="shared" si="63"/>
        <v>7547</v>
      </c>
      <c r="J83" s="58">
        <f>+SUM(J85+J89+J93)</f>
        <v>7643.3</v>
      </c>
      <c r="K83" s="58">
        <f>+SUM(K85+K89+K93)</f>
        <v>7774.45</v>
      </c>
      <c r="L83" s="58">
        <f>+SUM(L85+L89+L93)</f>
        <v>7939.3820000000005</v>
      </c>
      <c r="M83" s="58">
        <f>+SUM(M85+M89+M93)</f>
        <v>8137.2749500000009</v>
      </c>
      <c r="N83" s="58">
        <f>+SUM(N85+N89+N93)</f>
        <v>8367.5389925000018</v>
      </c>
    </row>
    <row r="84" spans="1:14" x14ac:dyDescent="0.3">
      <c r="A84" s="73" t="s">
        <v>225</v>
      </c>
      <c r="B84" s="74" t="str">
        <f t="shared" ref="B84:N84" si="64">+IFERROR(B83/A83-1,"nm")</f>
        <v>nm</v>
      </c>
      <c r="C84" s="74">
        <f t="shared" si="64"/>
        <v>0.23410498858819695</v>
      </c>
      <c r="D84" s="74">
        <f t="shared" si="64"/>
        <v>0.11941875825627468</v>
      </c>
      <c r="E84" s="74">
        <f t="shared" si="64"/>
        <v>0.21170639603493036</v>
      </c>
      <c r="F84" s="74">
        <f t="shared" si="64"/>
        <v>0.20919361121932223</v>
      </c>
      <c r="G84" s="74">
        <f t="shared" si="64"/>
        <v>7.5869845360824639E-2</v>
      </c>
      <c r="H84" s="74">
        <f t="shared" si="64"/>
        <v>0.24120377301991325</v>
      </c>
      <c r="I84" s="74">
        <f t="shared" si="64"/>
        <v>-8.9626055488540413E-2</v>
      </c>
      <c r="J84" s="70">
        <f t="shared" si="64"/>
        <v>1.2760037100834731E-2</v>
      </c>
      <c r="K84" s="70">
        <f t="shared" si="64"/>
        <v>1.7158818834796419E-2</v>
      </c>
      <c r="L84" s="70">
        <f t="shared" si="64"/>
        <v>2.1214619683707525E-2</v>
      </c>
      <c r="M84" s="70">
        <f t="shared" si="64"/>
        <v>2.4925485384126977E-2</v>
      </c>
      <c r="N84" s="70">
        <f t="shared" si="64"/>
        <v>2.8297439119959966E-2</v>
      </c>
    </row>
    <row r="85" spans="1:14" x14ac:dyDescent="0.3">
      <c r="A85" s="75" t="s">
        <v>226</v>
      </c>
      <c r="B85" s="65">
        <f>+'Historicals (2)'!B120</f>
        <v>2016</v>
      </c>
      <c r="C85" s="65">
        <f>+'Historicals (2)'!C120</f>
        <v>2599</v>
      </c>
      <c r="D85" s="65">
        <f>+'Historicals (2)'!D120</f>
        <v>2920</v>
      </c>
      <c r="E85" s="65">
        <f>+'Historicals (2)'!E120</f>
        <v>3496</v>
      </c>
      <c r="F85" s="65">
        <f>+'Historicals (2)'!F120</f>
        <v>4262</v>
      </c>
      <c r="G85" s="65">
        <f>+'Historicals (2)'!G120</f>
        <v>4635</v>
      </c>
      <c r="H85" s="65">
        <f>+'Historicals (2)'!H120</f>
        <v>5748</v>
      </c>
      <c r="I85" s="65">
        <f>+'Historicals (2)'!I120</f>
        <v>5416</v>
      </c>
      <c r="J85" s="58">
        <f>+I85*(1+J86)</f>
        <v>5686.8</v>
      </c>
      <c r="K85" s="58">
        <f>+J85*(1+K86)</f>
        <v>5971.14</v>
      </c>
      <c r="L85" s="58">
        <f>+K85*(1+L86)</f>
        <v>6269.697000000001</v>
      </c>
      <c r="M85" s="58">
        <f>+L85*(1+M86)</f>
        <v>6583.1818500000018</v>
      </c>
      <c r="N85" s="58">
        <f>+M85*(1+N86)</f>
        <v>6912.3409425000018</v>
      </c>
    </row>
    <row r="86" spans="1:14" x14ac:dyDescent="0.3">
      <c r="A86" s="73" t="s">
        <v>225</v>
      </c>
      <c r="B86" s="74" t="str">
        <f t="shared" ref="B86:I86" si="65">+IFERROR(B85/A85-1,"nm")</f>
        <v>nm</v>
      </c>
      <c r="C86" s="74">
        <f t="shared" si="65"/>
        <v>0.28918650793650791</v>
      </c>
      <c r="D86" s="74">
        <f t="shared" si="65"/>
        <v>0.12350904193920731</v>
      </c>
      <c r="E86" s="74">
        <f t="shared" si="65"/>
        <v>0.19726027397260282</v>
      </c>
      <c r="F86" s="74">
        <f t="shared" si="65"/>
        <v>0.21910755148741412</v>
      </c>
      <c r="G86" s="74">
        <f t="shared" si="65"/>
        <v>8.7517597372125833E-2</v>
      </c>
      <c r="H86" s="74">
        <f t="shared" si="65"/>
        <v>0.24012944983818763</v>
      </c>
      <c r="I86" s="74">
        <f t="shared" si="65"/>
        <v>-5.7759220598469052E-2</v>
      </c>
      <c r="J86" s="70">
        <f>+J87+J88</f>
        <v>0.05</v>
      </c>
      <c r="K86" s="70">
        <f>+K87+K88</f>
        <v>0.05</v>
      </c>
      <c r="L86" s="70">
        <f>+L87+L88</f>
        <v>0.05</v>
      </c>
      <c r="M86" s="70">
        <f>+M87+M88</f>
        <v>0.05</v>
      </c>
      <c r="N86" s="70">
        <f>+N87+N88</f>
        <v>0.05</v>
      </c>
    </row>
    <row r="87" spans="1:14" x14ac:dyDescent="0.3">
      <c r="A87" s="73" t="s">
        <v>227</v>
      </c>
      <c r="B87" s="74">
        <f>+'Historicals (2)'!B192</f>
        <v>0</v>
      </c>
      <c r="C87" s="74">
        <f>+'Historicals (2)'!C192</f>
        <v>0.28918650793650796</v>
      </c>
      <c r="D87" s="74">
        <f>+'Historicals (2)'!D192</f>
        <v>0.12350904193920739</v>
      </c>
      <c r="E87" s="74">
        <f>+'Historicals (2)'!E192</f>
        <v>0.19726027397260273</v>
      </c>
      <c r="F87" s="74">
        <f>+'Historicals (2)'!F192</f>
        <v>0.21910755148741418</v>
      </c>
      <c r="G87" s="74">
        <f>+'Historicals (2)'!G192</f>
        <v>8.7517597372125763E-2</v>
      </c>
      <c r="H87" s="74">
        <f>+'Historicals (2)'!H192</f>
        <v>0.24012944983818771</v>
      </c>
      <c r="I87" s="74">
        <f>+'Historicals (2)'!I192</f>
        <v>-0.1</v>
      </c>
      <c r="J87" s="70">
        <v>0.05</v>
      </c>
      <c r="K87" s="70">
        <f t="shared" ref="K87:N88" si="66">+J87</f>
        <v>0.05</v>
      </c>
      <c r="L87" s="70">
        <f t="shared" si="66"/>
        <v>0.05</v>
      </c>
      <c r="M87" s="70">
        <f t="shared" si="66"/>
        <v>0.05</v>
      </c>
      <c r="N87" s="70">
        <f t="shared" si="66"/>
        <v>0.05</v>
      </c>
    </row>
    <row r="88" spans="1:14" x14ac:dyDescent="0.3">
      <c r="A88" s="73" t="s">
        <v>228</v>
      </c>
      <c r="B88" s="74" t="str">
        <f t="shared" ref="B88:I88" si="67">+IFERROR(B86-B87,"nm")</f>
        <v>nm</v>
      </c>
      <c r="C88" s="74">
        <f t="shared" si="67"/>
        <v>-5.5511151231257827E-17</v>
      </c>
      <c r="D88" s="74">
        <f t="shared" si="67"/>
        <v>-8.3266726846886741E-17</v>
      </c>
      <c r="E88" s="74">
        <f t="shared" si="67"/>
        <v>8.3266726846886741E-17</v>
      </c>
      <c r="F88" s="74">
        <f t="shared" si="67"/>
        <v>-5.5511151231257827E-17</v>
      </c>
      <c r="G88" s="74">
        <f t="shared" si="67"/>
        <v>6.9388939039072284E-17</v>
      </c>
      <c r="H88" s="74">
        <f t="shared" si="67"/>
        <v>-8.3266726846886741E-17</v>
      </c>
      <c r="I88" s="74">
        <f t="shared" si="67"/>
        <v>4.2240779401530953E-2</v>
      </c>
      <c r="J88" s="70">
        <v>0</v>
      </c>
      <c r="K88" s="70">
        <f t="shared" si="66"/>
        <v>0</v>
      </c>
      <c r="L88" s="70">
        <f t="shared" si="66"/>
        <v>0</v>
      </c>
      <c r="M88" s="70">
        <f t="shared" si="66"/>
        <v>0</v>
      </c>
      <c r="N88" s="70">
        <f t="shared" si="66"/>
        <v>0</v>
      </c>
    </row>
    <row r="89" spans="1:14" x14ac:dyDescent="0.3">
      <c r="A89" s="75" t="s">
        <v>229</v>
      </c>
      <c r="B89" s="65">
        <f>+'Historicals (2)'!B121</f>
        <v>925</v>
      </c>
      <c r="C89" s="65">
        <f>+'Historicals (2)'!C121</f>
        <v>1055</v>
      </c>
      <c r="D89" s="65">
        <f>+'Historicals (2)'!D121</f>
        <v>1188</v>
      </c>
      <c r="E89" s="65">
        <f>+'Historicals (2)'!E121</f>
        <v>1508</v>
      </c>
      <c r="F89" s="65">
        <f>+'Historicals (2)'!F121</f>
        <v>1808</v>
      </c>
      <c r="G89" s="65">
        <f>+'Historicals (2)'!G121</f>
        <v>1896</v>
      </c>
      <c r="H89" s="65">
        <f>+'Historicals (2)'!H121</f>
        <v>2347</v>
      </c>
      <c r="I89" s="65">
        <f>+'Historicals (2)'!I121</f>
        <v>1938</v>
      </c>
      <c r="J89" s="58">
        <f>+I89*(1+J90)</f>
        <v>1744.2</v>
      </c>
      <c r="K89" s="58">
        <f>+J89*(1+K90)</f>
        <v>1569.78</v>
      </c>
      <c r="L89" s="58">
        <f>+K89*(1+L90)</f>
        <v>1412.8019999999999</v>
      </c>
      <c r="M89" s="58">
        <f>+L89*(1+M90)</f>
        <v>1271.5218</v>
      </c>
      <c r="N89" s="58">
        <f>+M89*(1+N90)</f>
        <v>1144.3696199999999</v>
      </c>
    </row>
    <row r="90" spans="1:14" x14ac:dyDescent="0.3">
      <c r="A90" s="73" t="s">
        <v>225</v>
      </c>
      <c r="B90" s="74" t="str">
        <f t="shared" ref="B90:I90" si="68">+IFERROR(B89/A89-1,"nm")</f>
        <v>nm</v>
      </c>
      <c r="C90" s="74">
        <f t="shared" si="68"/>
        <v>0.14054054054054044</v>
      </c>
      <c r="D90" s="74">
        <f t="shared" si="68"/>
        <v>0.12606635071090055</v>
      </c>
      <c r="E90" s="74">
        <f t="shared" si="68"/>
        <v>0.26936026936026947</v>
      </c>
      <c r="F90" s="74">
        <f t="shared" si="68"/>
        <v>0.19893899204244025</v>
      </c>
      <c r="G90" s="74">
        <f t="shared" si="68"/>
        <v>4.8672566371681381E-2</v>
      </c>
      <c r="H90" s="74">
        <f t="shared" si="68"/>
        <v>0.2378691983122363</v>
      </c>
      <c r="I90" s="74">
        <f t="shared" si="68"/>
        <v>-0.17426501917341286</v>
      </c>
      <c r="J90" s="70">
        <f>+J91+J92</f>
        <v>-0.1</v>
      </c>
      <c r="K90" s="70">
        <f>+K91+K92</f>
        <v>-0.1</v>
      </c>
      <c r="L90" s="70">
        <f>+L91+L92</f>
        <v>-0.1</v>
      </c>
      <c r="M90" s="70">
        <f>+M91+M92</f>
        <v>-0.1</v>
      </c>
      <c r="N90" s="70">
        <f>+N91+N92</f>
        <v>-0.1</v>
      </c>
    </row>
    <row r="91" spans="1:14" x14ac:dyDescent="0.3">
      <c r="A91" s="73" t="s">
        <v>227</v>
      </c>
      <c r="B91" s="74">
        <f>+'Historicals (2)'!B193</f>
        <v>0</v>
      </c>
      <c r="C91" s="74">
        <f>+'Historicals (2)'!C193</f>
        <v>0.14054054054054055</v>
      </c>
      <c r="D91" s="74">
        <f>+'Historicals (2)'!D193</f>
        <v>0.12606635071090047</v>
      </c>
      <c r="E91" s="74">
        <f>+'Historicals (2)'!E193</f>
        <v>0.26936026936026936</v>
      </c>
      <c r="F91" s="74">
        <f>+'Historicals (2)'!F193</f>
        <v>0.19893899204244031</v>
      </c>
      <c r="G91" s="74">
        <f>+'Historicals (2)'!G193</f>
        <v>4.8672566371681415E-2</v>
      </c>
      <c r="H91" s="74">
        <f>+'Historicals (2)'!H193</f>
        <v>0.2378691983122363</v>
      </c>
      <c r="I91" s="74">
        <f>+'Historicals (2)'!I193</f>
        <v>-0.21</v>
      </c>
      <c r="J91" s="70">
        <v>-0.1</v>
      </c>
      <c r="K91" s="70">
        <f t="shared" ref="K91:N92" si="69">+J91</f>
        <v>-0.1</v>
      </c>
      <c r="L91" s="70">
        <f t="shared" si="69"/>
        <v>-0.1</v>
      </c>
      <c r="M91" s="70">
        <f t="shared" si="69"/>
        <v>-0.1</v>
      </c>
      <c r="N91" s="70">
        <f t="shared" si="69"/>
        <v>-0.1</v>
      </c>
    </row>
    <row r="92" spans="1:14" x14ac:dyDescent="0.3">
      <c r="A92" s="73" t="s">
        <v>228</v>
      </c>
      <c r="B92" s="74" t="str">
        <f t="shared" ref="B92:I92" si="70">+IFERROR(B90-B91,"nm")</f>
        <v>nm</v>
      </c>
      <c r="C92" s="74">
        <f t="shared" si="70"/>
        <v>-1.1102230246251565E-16</v>
      </c>
      <c r="D92" s="74">
        <f t="shared" si="70"/>
        <v>8.3266726846886741E-17</v>
      </c>
      <c r="E92" s="74">
        <f t="shared" si="70"/>
        <v>1.1102230246251565E-16</v>
      </c>
      <c r="F92" s="74">
        <f t="shared" si="70"/>
        <v>-5.5511151231257827E-17</v>
      </c>
      <c r="G92" s="74">
        <f t="shared" si="70"/>
        <v>-3.4694469519536142E-17</v>
      </c>
      <c r="H92" s="74">
        <f t="shared" si="70"/>
        <v>0</v>
      </c>
      <c r="I92" s="74">
        <f t="shared" si="70"/>
        <v>3.5734980826587132E-2</v>
      </c>
      <c r="J92" s="70">
        <v>0</v>
      </c>
      <c r="K92" s="70">
        <f t="shared" si="69"/>
        <v>0</v>
      </c>
      <c r="L92" s="70">
        <f t="shared" si="69"/>
        <v>0</v>
      </c>
      <c r="M92" s="70">
        <f t="shared" si="69"/>
        <v>0</v>
      </c>
      <c r="N92" s="70">
        <f t="shared" si="69"/>
        <v>0</v>
      </c>
    </row>
    <row r="93" spans="1:14" x14ac:dyDescent="0.3">
      <c r="A93" s="75" t="s">
        <v>230</v>
      </c>
      <c r="B93" s="65">
        <f>+'Historicals (2)'!B122</f>
        <v>126</v>
      </c>
      <c r="C93" s="65">
        <f>+'Historicals (2)'!C122</f>
        <v>131</v>
      </c>
      <c r="D93" s="65">
        <f>+'Historicals (2)'!D122</f>
        <v>129</v>
      </c>
      <c r="E93" s="65">
        <f>+'Historicals (2)'!E122</f>
        <v>130</v>
      </c>
      <c r="F93" s="65">
        <f>+'Historicals (2)'!F122</f>
        <v>138</v>
      </c>
      <c r="G93" s="65">
        <f>+'Historicals (2)'!G122</f>
        <v>148</v>
      </c>
      <c r="H93" s="65">
        <f>+'Historicals (2)'!H122</f>
        <v>195</v>
      </c>
      <c r="I93" s="65">
        <f>+'Historicals (2)'!I122</f>
        <v>193</v>
      </c>
      <c r="J93" s="58">
        <f>+I93*(1+J94)</f>
        <v>212.3</v>
      </c>
      <c r="K93" s="58">
        <f>+J93*(1+K94)</f>
        <v>233.53000000000003</v>
      </c>
      <c r="L93" s="58">
        <f>+K93*(1+L94)</f>
        <v>256.88300000000004</v>
      </c>
      <c r="M93" s="58">
        <f>+L93*(1+M94)</f>
        <v>282.57130000000006</v>
      </c>
      <c r="N93" s="58">
        <f>+M93*(1+N94)</f>
        <v>310.82843000000008</v>
      </c>
    </row>
    <row r="94" spans="1:14" x14ac:dyDescent="0.3">
      <c r="A94" s="73" t="s">
        <v>225</v>
      </c>
      <c r="B94" s="74" t="str">
        <f t="shared" ref="B94:I94" si="71">+IFERROR(B93/A93-1,"nm")</f>
        <v>nm</v>
      </c>
      <c r="C94" s="74">
        <f t="shared" si="71"/>
        <v>3.9682539682539764E-2</v>
      </c>
      <c r="D94" s="74">
        <f t="shared" si="71"/>
        <v>-1.5267175572519109E-2</v>
      </c>
      <c r="E94" s="74">
        <f t="shared" si="71"/>
        <v>7.7519379844961378E-3</v>
      </c>
      <c r="F94" s="74">
        <f t="shared" si="71"/>
        <v>6.1538461538461542E-2</v>
      </c>
      <c r="G94" s="74">
        <f t="shared" si="71"/>
        <v>7.2463768115942129E-2</v>
      </c>
      <c r="H94" s="74">
        <f t="shared" si="71"/>
        <v>0.31756756756756754</v>
      </c>
      <c r="I94" s="74">
        <f t="shared" si="71"/>
        <v>-1.025641025641022E-2</v>
      </c>
      <c r="J94" s="70">
        <f>+J95+J96</f>
        <v>0.1</v>
      </c>
      <c r="K94" s="70">
        <f>+K95+K96</f>
        <v>0.1</v>
      </c>
      <c r="L94" s="70">
        <f>+L95+L96</f>
        <v>0.1</v>
      </c>
      <c r="M94" s="70">
        <f>+M95+M96</f>
        <v>0.1</v>
      </c>
      <c r="N94" s="70">
        <f>+N95+N96</f>
        <v>0.1</v>
      </c>
    </row>
    <row r="95" spans="1:14" x14ac:dyDescent="0.3">
      <c r="A95" s="73" t="s">
        <v>227</v>
      </c>
      <c r="B95" s="74">
        <f>+'Historicals (2)'!B194</f>
        <v>0</v>
      </c>
      <c r="C95" s="74">
        <f>+'Historicals (2)'!C194</f>
        <v>3.968253968253968E-2</v>
      </c>
      <c r="D95" s="74">
        <f>+'Historicals (2)'!D194</f>
        <v>-1.5267175572519083E-2</v>
      </c>
      <c r="E95" s="74">
        <f>+'Historicals (2)'!E194</f>
        <v>7.7519379844961239E-3</v>
      </c>
      <c r="F95" s="74">
        <f>+'Historicals (2)'!F194</f>
        <v>6.1538461538461542E-2</v>
      </c>
      <c r="G95" s="74">
        <f>+'Historicals (2)'!G194</f>
        <v>7.2463768115942032E-2</v>
      </c>
      <c r="H95" s="74">
        <f>+'Historicals (2)'!H194</f>
        <v>0.31756756756756754</v>
      </c>
      <c r="I95" s="74">
        <f>+'Historicals (2)'!I194</f>
        <v>-0.06</v>
      </c>
      <c r="J95" s="70">
        <v>0.1</v>
      </c>
      <c r="K95" s="70">
        <f t="shared" ref="K95:N96" si="72">+J95</f>
        <v>0.1</v>
      </c>
      <c r="L95" s="70">
        <f t="shared" si="72"/>
        <v>0.1</v>
      </c>
      <c r="M95" s="70">
        <f t="shared" si="72"/>
        <v>0.1</v>
      </c>
      <c r="N95" s="70">
        <f t="shared" si="72"/>
        <v>0.1</v>
      </c>
    </row>
    <row r="96" spans="1:14" x14ac:dyDescent="0.3">
      <c r="A96" s="73" t="s">
        <v>228</v>
      </c>
      <c r="B96" s="74" t="str">
        <f t="shared" ref="B96:I96" si="73">+IFERROR(B94-B95,"nm")</f>
        <v>nm</v>
      </c>
      <c r="C96" s="74">
        <f t="shared" si="73"/>
        <v>8.3266726846886741E-17</v>
      </c>
      <c r="D96" s="74">
        <f t="shared" si="73"/>
        <v>-2.6020852139652106E-17</v>
      </c>
      <c r="E96" s="74">
        <f t="shared" si="73"/>
        <v>1.3877787807814457E-17</v>
      </c>
      <c r="F96" s="74">
        <f t="shared" si="73"/>
        <v>0</v>
      </c>
      <c r="G96" s="74">
        <f t="shared" si="73"/>
        <v>9.7144514654701197E-17</v>
      </c>
      <c r="H96" s="74">
        <f t="shared" si="73"/>
        <v>0</v>
      </c>
      <c r="I96" s="74">
        <f t="shared" si="73"/>
        <v>4.9743589743589778E-2</v>
      </c>
      <c r="J96" s="70">
        <v>0</v>
      </c>
      <c r="K96" s="70">
        <f t="shared" si="72"/>
        <v>0</v>
      </c>
      <c r="L96" s="70">
        <f t="shared" si="72"/>
        <v>0</v>
      </c>
      <c r="M96" s="70">
        <f t="shared" si="72"/>
        <v>0</v>
      </c>
      <c r="N96" s="70">
        <f t="shared" si="72"/>
        <v>0</v>
      </c>
    </row>
    <row r="97" spans="1:14" x14ac:dyDescent="0.3">
      <c r="A97" s="72" t="s">
        <v>231</v>
      </c>
      <c r="B97" s="72">
        <f t="shared" ref="B97:I97" si="74">+B104+B100</f>
        <v>1039</v>
      </c>
      <c r="C97" s="72">
        <f t="shared" si="74"/>
        <v>1420</v>
      </c>
      <c r="D97" s="72">
        <f t="shared" si="74"/>
        <v>1561</v>
      </c>
      <c r="E97" s="72">
        <f t="shared" si="74"/>
        <v>1863</v>
      </c>
      <c r="F97" s="72">
        <f t="shared" si="74"/>
        <v>2426</v>
      </c>
      <c r="G97" s="72">
        <f t="shared" si="74"/>
        <v>2534</v>
      </c>
      <c r="H97" s="72">
        <f t="shared" si="74"/>
        <v>3289</v>
      </c>
      <c r="I97" s="72">
        <f t="shared" si="74"/>
        <v>2406</v>
      </c>
      <c r="J97" s="58">
        <f>+J83*J99</f>
        <v>2675.1549999999997</v>
      </c>
      <c r="K97" s="58">
        <f>+K83*K99</f>
        <v>2721.0574999999999</v>
      </c>
      <c r="L97" s="58">
        <f>+L83*L99</f>
        <v>2778.7837</v>
      </c>
      <c r="M97" s="58">
        <f>+M83*M99</f>
        <v>2848.0462325000003</v>
      </c>
      <c r="N97" s="58">
        <f>+N83*N99</f>
        <v>2928.6386473750003</v>
      </c>
    </row>
    <row r="98" spans="1:14" x14ac:dyDescent="0.3">
      <c r="A98" s="76" t="s">
        <v>225</v>
      </c>
      <c r="B98" s="74" t="str">
        <f t="shared" ref="B98:N98" si="75">+IFERROR(B97/A97-1,"nm")</f>
        <v>nm</v>
      </c>
      <c r="C98" s="74">
        <f t="shared" si="75"/>
        <v>0.36669874879692022</v>
      </c>
      <c r="D98" s="74">
        <f t="shared" si="75"/>
        <v>9.9295774647887303E-2</v>
      </c>
      <c r="E98" s="74">
        <f t="shared" si="75"/>
        <v>0.19346572709801402</v>
      </c>
      <c r="F98" s="74">
        <f t="shared" si="75"/>
        <v>0.3022007514761138</v>
      </c>
      <c r="G98" s="74">
        <f t="shared" si="75"/>
        <v>4.4517724649629109E-2</v>
      </c>
      <c r="H98" s="74">
        <f t="shared" si="75"/>
        <v>0.29794790844514596</v>
      </c>
      <c r="I98" s="74">
        <f t="shared" si="75"/>
        <v>-0.26847065977500761</v>
      </c>
      <c r="J98" s="70">
        <f t="shared" si="75"/>
        <v>0.11186824605153767</v>
      </c>
      <c r="K98" s="70">
        <f t="shared" si="75"/>
        <v>1.7158818834796641E-2</v>
      </c>
      <c r="L98" s="70">
        <f t="shared" si="75"/>
        <v>2.1214619683707525E-2</v>
      </c>
      <c r="M98" s="70">
        <f t="shared" si="75"/>
        <v>2.4925485384126977E-2</v>
      </c>
      <c r="N98" s="70">
        <f t="shared" si="75"/>
        <v>2.8297439119959966E-2</v>
      </c>
    </row>
    <row r="99" spans="1:14" x14ac:dyDescent="0.3">
      <c r="A99" s="76" t="s">
        <v>232</v>
      </c>
      <c r="B99" s="74">
        <f t="shared" ref="B99:I99" si="76">+IFERROR(B97/B$83,"nm")</f>
        <v>0.33876752526899251</v>
      </c>
      <c r="C99" s="74">
        <f t="shared" si="76"/>
        <v>0.37516512549537651</v>
      </c>
      <c r="D99" s="74">
        <f t="shared" si="76"/>
        <v>0.36842105263157893</v>
      </c>
      <c r="E99" s="74">
        <f t="shared" si="76"/>
        <v>0.36287495130502534</v>
      </c>
      <c r="F99" s="74">
        <f t="shared" si="76"/>
        <v>0.3907860824742268</v>
      </c>
      <c r="G99" s="74">
        <f t="shared" si="76"/>
        <v>0.37939811349004343</v>
      </c>
      <c r="H99" s="74">
        <f t="shared" si="76"/>
        <v>0.39674306393244874</v>
      </c>
      <c r="I99" s="74">
        <f t="shared" si="76"/>
        <v>0.31880217304889358</v>
      </c>
      <c r="J99" s="70">
        <v>0.35</v>
      </c>
      <c r="K99" s="70">
        <f>+J99</f>
        <v>0.35</v>
      </c>
      <c r="L99" s="70">
        <f>+K99</f>
        <v>0.35</v>
      </c>
      <c r="M99" s="70">
        <f>+L99</f>
        <v>0.35</v>
      </c>
      <c r="N99" s="70">
        <f>+M99</f>
        <v>0.35</v>
      </c>
    </row>
    <row r="100" spans="1:14" x14ac:dyDescent="0.3">
      <c r="A100" s="72" t="s">
        <v>233</v>
      </c>
      <c r="B100" s="72">
        <f>+'Historicals (2)'!B173</f>
        <v>46</v>
      </c>
      <c r="C100" s="72">
        <f>+'Historicals (2)'!C173</f>
        <v>48</v>
      </c>
      <c r="D100" s="72">
        <f>+'Historicals (2)'!D173</f>
        <v>54</v>
      </c>
      <c r="E100" s="72">
        <f>+'Historicals (2)'!E173</f>
        <v>56</v>
      </c>
      <c r="F100" s="72">
        <f>+'Historicals (2)'!F173</f>
        <v>50</v>
      </c>
      <c r="G100" s="72">
        <f>+'Historicals (2)'!G173</f>
        <v>44</v>
      </c>
      <c r="H100" s="72">
        <f>+'Historicals (2)'!H173</f>
        <v>46</v>
      </c>
      <c r="I100" s="72">
        <f>+'Historicals (2)'!I173</f>
        <v>41</v>
      </c>
      <c r="J100" s="58">
        <f>+J103*J110</f>
        <v>62.054514851485152</v>
      </c>
      <c r="K100" s="58">
        <f>+K103*K110</f>
        <v>63.11929702970297</v>
      </c>
      <c r="L100" s="58">
        <f>+L103*L110</f>
        <v>64.45834891089109</v>
      </c>
      <c r="M100" s="58">
        <f>+M103*M110</f>
        <v>66.065004544554455</v>
      </c>
      <c r="N100" s="58">
        <f>+N103*N110</f>
        <v>67.934474988613871</v>
      </c>
    </row>
    <row r="101" spans="1:14" x14ac:dyDescent="0.3">
      <c r="A101" s="76" t="s">
        <v>225</v>
      </c>
      <c r="B101" s="74" t="str">
        <f t="shared" ref="B101:N101" si="77">+IFERROR(B100/A100-1,"nm")</f>
        <v>nm</v>
      </c>
      <c r="C101" s="74">
        <f t="shared" si="77"/>
        <v>4.3478260869565188E-2</v>
      </c>
      <c r="D101" s="74">
        <f t="shared" si="77"/>
        <v>0.125</v>
      </c>
      <c r="E101" s="74">
        <f t="shared" si="77"/>
        <v>3.7037037037036979E-2</v>
      </c>
      <c r="F101" s="74">
        <f t="shared" si="77"/>
        <v>-0.1071428571428571</v>
      </c>
      <c r="G101" s="74">
        <f t="shared" si="77"/>
        <v>-0.12</v>
      </c>
      <c r="H101" s="74">
        <f t="shared" si="77"/>
        <v>4.5454545454545414E-2</v>
      </c>
      <c r="I101" s="74">
        <f t="shared" si="77"/>
        <v>-0.10869565217391308</v>
      </c>
      <c r="J101" s="70">
        <f t="shared" si="77"/>
        <v>0.51352475247524754</v>
      </c>
      <c r="K101" s="70">
        <f t="shared" si="77"/>
        <v>1.7158818834796419E-2</v>
      </c>
      <c r="L101" s="70">
        <f t="shared" si="77"/>
        <v>2.1214619683707525E-2</v>
      </c>
      <c r="M101" s="70">
        <f t="shared" si="77"/>
        <v>2.4925485384126755E-2</v>
      </c>
      <c r="N101" s="70">
        <f t="shared" si="77"/>
        <v>2.8297439119960188E-2</v>
      </c>
    </row>
    <row r="102" spans="1:14" x14ac:dyDescent="0.3">
      <c r="A102" s="76" t="s">
        <v>234</v>
      </c>
      <c r="B102" s="74">
        <f t="shared" ref="B102:I102" si="78">+IFERROR(B100/B$83,"nm")</f>
        <v>1.4998369742419302E-2</v>
      </c>
      <c r="C102" s="74">
        <f t="shared" si="78"/>
        <v>1.2681638044914135E-2</v>
      </c>
      <c r="D102" s="74">
        <f t="shared" si="78"/>
        <v>1.2744866650932263E-2</v>
      </c>
      <c r="E102" s="74">
        <f t="shared" si="78"/>
        <v>1.090767432800935E-2</v>
      </c>
      <c r="F102" s="74">
        <f t="shared" si="78"/>
        <v>8.0541237113402053E-3</v>
      </c>
      <c r="G102" s="74">
        <f t="shared" si="78"/>
        <v>6.5878125467884411E-3</v>
      </c>
      <c r="H102" s="74">
        <f t="shared" si="78"/>
        <v>5.5488540410132689E-3</v>
      </c>
      <c r="I102" s="74">
        <f t="shared" si="78"/>
        <v>5.4326222340002651E-3</v>
      </c>
      <c r="J102" s="70">
        <f>+IFERROR(J100/J$21,"nm")</f>
        <v>3.2453524939796761E-3</v>
      </c>
      <c r="K102" s="70">
        <f>+IFERROR(K100/K$21,"nm")</f>
        <v>3.165598527548124E-3</v>
      </c>
      <c r="L102" s="70">
        <f>+IFERROR(L100/L$21,"nm")</f>
        <v>3.0969689438059677E-3</v>
      </c>
      <c r="M102" s="70">
        <f>+IFERROR(M100/M$21,"nm")</f>
        <v>3.0373498601035092E-3</v>
      </c>
      <c r="N102" s="70">
        <f>+IFERROR(N100/N$21,"nm")</f>
        <v>2.9848124286698504E-3</v>
      </c>
    </row>
    <row r="103" spans="1:14" x14ac:dyDescent="0.3">
      <c r="A103" s="76" t="s">
        <v>140</v>
      </c>
      <c r="B103" s="74">
        <f t="shared" ref="B103:I103" si="79">+IFERROR(B100/B110,"nm")</f>
        <v>0.18110236220472442</v>
      </c>
      <c r="C103" s="74">
        <f t="shared" si="79"/>
        <v>0.20512820512820512</v>
      </c>
      <c r="D103" s="74">
        <f t="shared" si="79"/>
        <v>0.24</v>
      </c>
      <c r="E103" s="74">
        <f t="shared" si="79"/>
        <v>0.21875</v>
      </c>
      <c r="F103" s="74">
        <f t="shared" si="79"/>
        <v>0.2109704641350211</v>
      </c>
      <c r="G103" s="74">
        <f t="shared" si="79"/>
        <v>0.20560747663551401</v>
      </c>
      <c r="H103" s="74">
        <f t="shared" si="79"/>
        <v>0.15972222222222221</v>
      </c>
      <c r="I103" s="74">
        <f t="shared" si="79"/>
        <v>0.13531353135313531</v>
      </c>
      <c r="J103" s="70">
        <f>+I103</f>
        <v>0.13531353135313531</v>
      </c>
      <c r="K103" s="70">
        <f>+J103</f>
        <v>0.13531353135313531</v>
      </c>
      <c r="L103" s="70">
        <f>+K103</f>
        <v>0.13531353135313531</v>
      </c>
      <c r="M103" s="70">
        <f>+L103</f>
        <v>0.13531353135313531</v>
      </c>
      <c r="N103" s="70">
        <f>+M103</f>
        <v>0.13531353135313531</v>
      </c>
    </row>
    <row r="104" spans="1:14" x14ac:dyDescent="0.3">
      <c r="A104" s="72" t="s">
        <v>235</v>
      </c>
      <c r="B104" s="72">
        <f>+'Historicals (2)'!B140</f>
        <v>993</v>
      </c>
      <c r="C104" s="72">
        <f>+'Historicals (2)'!C140</f>
        <v>1372</v>
      </c>
      <c r="D104" s="72">
        <f>+'Historicals (2)'!D140</f>
        <v>1507</v>
      </c>
      <c r="E104" s="72">
        <f>+'Historicals (2)'!E140</f>
        <v>1807</v>
      </c>
      <c r="F104" s="72">
        <f>+'Historicals (2)'!F140</f>
        <v>2376</v>
      </c>
      <c r="G104" s="72">
        <f>+'Historicals (2)'!G140</f>
        <v>2490</v>
      </c>
      <c r="H104" s="72">
        <f>+'Historicals (2)'!H140</f>
        <v>3243</v>
      </c>
      <c r="I104" s="72">
        <f>+'Historicals (2)'!I140</f>
        <v>2365</v>
      </c>
      <c r="J104" s="58">
        <f>+J97-J100</f>
        <v>2613.1004851485145</v>
      </c>
      <c r="K104" s="58">
        <f>+K97-K100</f>
        <v>2657.938202970297</v>
      </c>
      <c r="L104" s="58">
        <f>+L97-L100</f>
        <v>2714.3253510891091</v>
      </c>
      <c r="M104" s="58">
        <f>+M97-M100</f>
        <v>2781.9812279554458</v>
      </c>
      <c r="N104" s="58">
        <f>+N97-N100</f>
        <v>2860.7041723863863</v>
      </c>
    </row>
    <row r="105" spans="1:14" x14ac:dyDescent="0.3">
      <c r="A105" s="76" t="s">
        <v>225</v>
      </c>
      <c r="B105" s="74" t="str">
        <f t="shared" ref="B105:N105" si="80">+IFERROR(B104/A104-1,"nm")</f>
        <v>nm</v>
      </c>
      <c r="C105" s="74">
        <f t="shared" si="80"/>
        <v>0.38167170191339372</v>
      </c>
      <c r="D105" s="74">
        <f t="shared" si="80"/>
        <v>9.8396501457725938E-2</v>
      </c>
      <c r="E105" s="74">
        <f t="shared" si="80"/>
        <v>0.19907100199071004</v>
      </c>
      <c r="F105" s="74">
        <f t="shared" si="80"/>
        <v>0.31488655229662421</v>
      </c>
      <c r="G105" s="74">
        <f t="shared" si="80"/>
        <v>4.7979797979798011E-2</v>
      </c>
      <c r="H105" s="74">
        <f t="shared" si="80"/>
        <v>0.30240963855421676</v>
      </c>
      <c r="I105" s="74">
        <f t="shared" si="80"/>
        <v>-0.27073697193956214</v>
      </c>
      <c r="J105" s="70">
        <f t="shared" si="80"/>
        <v>0.10490506771607389</v>
      </c>
      <c r="K105" s="70">
        <f t="shared" si="80"/>
        <v>1.7158818834796641E-2</v>
      </c>
      <c r="L105" s="70">
        <f t="shared" si="80"/>
        <v>2.1214619683707525E-2</v>
      </c>
      <c r="M105" s="70">
        <f t="shared" si="80"/>
        <v>2.4925485384126977E-2</v>
      </c>
      <c r="N105" s="70">
        <f t="shared" si="80"/>
        <v>2.8297439119959966E-2</v>
      </c>
    </row>
    <row r="106" spans="1:14" x14ac:dyDescent="0.3">
      <c r="A106" s="76" t="s">
        <v>232</v>
      </c>
      <c r="B106" s="74">
        <f t="shared" ref="B106:I106" si="81">+IFERROR(B104/B$83,"nm")</f>
        <v>0.3237691555265732</v>
      </c>
      <c r="C106" s="74">
        <f t="shared" si="81"/>
        <v>0.36248348745046233</v>
      </c>
      <c r="D106" s="74">
        <f t="shared" si="81"/>
        <v>0.35567618598064671</v>
      </c>
      <c r="E106" s="74">
        <f t="shared" si="81"/>
        <v>0.35196727697701596</v>
      </c>
      <c r="F106" s="74">
        <f t="shared" si="81"/>
        <v>0.38273195876288657</v>
      </c>
      <c r="G106" s="74">
        <f t="shared" si="81"/>
        <v>0.37281030094325496</v>
      </c>
      <c r="H106" s="74">
        <f t="shared" si="81"/>
        <v>0.39119420989143544</v>
      </c>
      <c r="I106" s="74">
        <f t="shared" si="81"/>
        <v>0.31336955081489332</v>
      </c>
      <c r="J106" s="70">
        <f>+IFERROR(J104/J$21,"nm")</f>
        <v>0.13666100197209535</v>
      </c>
      <c r="K106" s="70">
        <f>+IFERROR(K104/K$21,"nm")</f>
        <v>0.13330258189784966</v>
      </c>
      <c r="L106" s="70">
        <f>+IFERROR(L104/L$21,"nm")</f>
        <v>0.13041260686539033</v>
      </c>
      <c r="M106" s="70">
        <f>+IFERROR(M104/M$21,"nm")</f>
        <v>0.12790206179191974</v>
      </c>
      <c r="N106" s="70">
        <f>+IFERROR(N104/N$21,"nm")</f>
        <v>0.12568972336825601</v>
      </c>
    </row>
    <row r="107" spans="1:14" x14ac:dyDescent="0.3">
      <c r="A107" s="72" t="s">
        <v>236</v>
      </c>
      <c r="B107" s="72">
        <f>+'Historicals (2)'!B162</f>
        <v>69</v>
      </c>
      <c r="C107" s="72">
        <f>+'Historicals (2)'!C162</f>
        <v>44</v>
      </c>
      <c r="D107" s="72">
        <f>+'Historicals (2)'!D162</f>
        <v>51</v>
      </c>
      <c r="E107" s="72">
        <f>+'Historicals (2)'!E162</f>
        <v>76</v>
      </c>
      <c r="F107" s="72">
        <f>+'Historicals (2)'!F162</f>
        <v>49</v>
      </c>
      <c r="G107" s="72">
        <f>+'Historicals (2)'!G162</f>
        <v>28</v>
      </c>
      <c r="H107" s="72">
        <f>+'Historicals (2)'!H162</f>
        <v>94</v>
      </c>
      <c r="I107" s="72">
        <f>+'Historicals (2)'!I162</f>
        <v>78</v>
      </c>
      <c r="J107" s="58">
        <f>+J83*J109</f>
        <v>78.995282893865109</v>
      </c>
      <c r="K107" s="58">
        <f>+K83*K109</f>
        <v>80.350748641844433</v>
      </c>
      <c r="L107" s="58">
        <f>+L83*L109</f>
        <v>82.055359215582357</v>
      </c>
      <c r="M107" s="58">
        <f>+M83*M109</f>
        <v>84.100628872399639</v>
      </c>
      <c r="N107" s="58">
        <f>+N83*N109</f>
        <v>86.480461297866725</v>
      </c>
    </row>
    <row r="108" spans="1:14" x14ac:dyDescent="0.3">
      <c r="A108" s="76" t="s">
        <v>225</v>
      </c>
      <c r="B108" s="74" t="str">
        <f t="shared" ref="B108:I108" si="82">+IFERROR(B107/A107-1,"nm")</f>
        <v>nm</v>
      </c>
      <c r="C108" s="74">
        <f t="shared" si="82"/>
        <v>-0.3623188405797102</v>
      </c>
      <c r="D108" s="74">
        <f t="shared" si="82"/>
        <v>0.15909090909090917</v>
      </c>
      <c r="E108" s="74">
        <f t="shared" si="82"/>
        <v>0.49019607843137258</v>
      </c>
      <c r="F108" s="74">
        <f t="shared" si="82"/>
        <v>-0.35526315789473684</v>
      </c>
      <c r="G108" s="74">
        <f t="shared" si="82"/>
        <v>-0.4285714285714286</v>
      </c>
      <c r="H108" s="74">
        <f t="shared" si="82"/>
        <v>2.3571428571428572</v>
      </c>
      <c r="I108" s="74">
        <f t="shared" si="82"/>
        <v>-0.17021276595744683</v>
      </c>
      <c r="J108" s="70">
        <v>0</v>
      </c>
      <c r="K108" s="70">
        <f>+IFERROR(K107/J107-1,"nm")</f>
        <v>1.7158818834796419E-2</v>
      </c>
      <c r="L108" s="70">
        <f>+IFERROR(L107/K107-1,"nm")</f>
        <v>2.1214619683707747E-2</v>
      </c>
      <c r="M108" s="70">
        <f>+IFERROR(M107/L107-1,"nm")</f>
        <v>2.4925485384126977E-2</v>
      </c>
      <c r="N108" s="70">
        <f>+IFERROR(N107/M107-1,"nm")</f>
        <v>2.8297439119960188E-2</v>
      </c>
    </row>
    <row r="109" spans="1:14" x14ac:dyDescent="0.3">
      <c r="A109" s="76" t="s">
        <v>234</v>
      </c>
      <c r="B109" s="74">
        <f t="shared" ref="B109:I109" si="83">+IFERROR(B107/B$83,"nm")</f>
        <v>2.2497554613628953E-2</v>
      </c>
      <c r="C109" s="74">
        <f t="shared" si="83"/>
        <v>1.1624834874504624E-2</v>
      </c>
      <c r="D109" s="74">
        <f t="shared" si="83"/>
        <v>1.2036818503658248E-2</v>
      </c>
      <c r="E109" s="74">
        <f t="shared" si="83"/>
        <v>1.4803272302298403E-2</v>
      </c>
      <c r="F109" s="74">
        <f t="shared" si="83"/>
        <v>7.8930412371134018E-3</v>
      </c>
      <c r="G109" s="74">
        <f t="shared" si="83"/>
        <v>4.1922443479562805E-3</v>
      </c>
      <c r="H109" s="74">
        <f t="shared" si="83"/>
        <v>1.1338962605548853E-2</v>
      </c>
      <c r="I109" s="74">
        <f t="shared" si="83"/>
        <v>1.0335232542732211E-2</v>
      </c>
      <c r="J109" s="70">
        <f>+I109</f>
        <v>1.0335232542732211E-2</v>
      </c>
      <c r="K109" s="70">
        <f>+J109</f>
        <v>1.0335232542732211E-2</v>
      </c>
      <c r="L109" s="70">
        <f>+K109</f>
        <v>1.0335232542732211E-2</v>
      </c>
      <c r="M109" s="70">
        <f>+L109</f>
        <v>1.0335232542732211E-2</v>
      </c>
      <c r="N109" s="70">
        <f>+M109</f>
        <v>1.0335232542732211E-2</v>
      </c>
    </row>
    <row r="110" spans="1:14" x14ac:dyDescent="0.3">
      <c r="A110" s="9" t="s">
        <v>141</v>
      </c>
      <c r="B110" s="9">
        <f>+'Historicals (2)'!B151</f>
        <v>254</v>
      </c>
      <c r="C110" s="9">
        <f>+'Historicals (2)'!C151</f>
        <v>234</v>
      </c>
      <c r="D110" s="9">
        <f>+'Historicals (2)'!D151</f>
        <v>225</v>
      </c>
      <c r="E110" s="9">
        <f>+'Historicals (2)'!E151</f>
        <v>256</v>
      </c>
      <c r="F110" s="9">
        <f>+'Historicals (2)'!F151</f>
        <v>237</v>
      </c>
      <c r="G110" s="9">
        <f>+'Historicals (2)'!G151</f>
        <v>214</v>
      </c>
      <c r="H110" s="71">
        <f>+'Historicals (2)'!H151</f>
        <v>288</v>
      </c>
      <c r="I110" s="71">
        <f>+'Historicals (2)'!I151</f>
        <v>303</v>
      </c>
      <c r="J110" s="58">
        <f>+J83*J112</f>
        <v>458.59800000000001</v>
      </c>
      <c r="K110" s="58">
        <f>+K83*K112</f>
        <v>466.46699999999998</v>
      </c>
      <c r="L110" s="58">
        <f>+L83*L112</f>
        <v>476.36292000000003</v>
      </c>
      <c r="M110" s="58">
        <f>+M83*M112</f>
        <v>488.23649700000004</v>
      </c>
      <c r="N110" s="58">
        <f>+N83*N112</f>
        <v>502.05233955000011</v>
      </c>
    </row>
    <row r="111" spans="1:14" x14ac:dyDescent="0.3">
      <c r="A111" s="44" t="s">
        <v>129</v>
      </c>
      <c r="B111" s="45" t="str">
        <f t="shared" ref="B111:I111" si="84">+IFERROR(B110/A110-1,"nm")</f>
        <v>nm</v>
      </c>
      <c r="C111" s="45">
        <f t="shared" si="84"/>
        <v>-7.8740157480314932E-2</v>
      </c>
      <c r="D111" s="45">
        <f t="shared" si="84"/>
        <v>-3.8461538461538436E-2</v>
      </c>
      <c r="E111" s="45">
        <f t="shared" si="84"/>
        <v>0.13777777777777778</v>
      </c>
      <c r="F111" s="45">
        <f t="shared" si="84"/>
        <v>-7.421875E-2</v>
      </c>
      <c r="G111" s="45">
        <f t="shared" si="84"/>
        <v>-9.7046413502109741E-2</v>
      </c>
      <c r="H111" s="45">
        <f t="shared" si="84"/>
        <v>0.34579439252336441</v>
      </c>
      <c r="I111" s="45">
        <f t="shared" si="84"/>
        <v>5.2083333333333259E-2</v>
      </c>
      <c r="J111" s="70">
        <f>+J112+J113</f>
        <v>0.06</v>
      </c>
      <c r="K111" s="70">
        <f>+K112+K113</f>
        <v>0.06</v>
      </c>
      <c r="L111" s="70">
        <f>+L112+L113</f>
        <v>0.06</v>
      </c>
      <c r="M111" s="70">
        <f>+M112+M113</f>
        <v>0.06</v>
      </c>
      <c r="N111" s="70">
        <f>+N112+N113</f>
        <v>0.06</v>
      </c>
    </row>
    <row r="112" spans="1:14" x14ac:dyDescent="0.3">
      <c r="A112" s="44" t="s">
        <v>133</v>
      </c>
      <c r="B112" s="45">
        <f t="shared" ref="B112:I112" si="85">+IFERROR(B110/B$83,"nm")</f>
        <v>8.2817085099445714E-2</v>
      </c>
      <c r="C112" s="45">
        <f t="shared" si="85"/>
        <v>6.1822985468956405E-2</v>
      </c>
      <c r="D112" s="45">
        <f t="shared" si="85"/>
        <v>5.31036110455511E-2</v>
      </c>
      <c r="E112" s="45">
        <f t="shared" si="85"/>
        <v>4.9863654070899883E-2</v>
      </c>
      <c r="F112" s="45">
        <f t="shared" si="85"/>
        <v>3.817654639175258E-2</v>
      </c>
      <c r="G112" s="45">
        <f t="shared" si="85"/>
        <v>3.2040724659380147E-2</v>
      </c>
      <c r="H112" s="45">
        <f t="shared" si="85"/>
        <v>3.4740651387213509E-2</v>
      </c>
      <c r="I112" s="45">
        <f t="shared" si="85"/>
        <v>4.0148403339075128E-2</v>
      </c>
      <c r="J112" s="70">
        <v>0.06</v>
      </c>
      <c r="K112" s="70">
        <f>+J112</f>
        <v>0.06</v>
      </c>
      <c r="L112" s="70">
        <f>+K112</f>
        <v>0.06</v>
      </c>
      <c r="M112" s="70">
        <f>+L112</f>
        <v>0.06</v>
      </c>
      <c r="N112" s="70">
        <f>+M112</f>
        <v>0.06</v>
      </c>
    </row>
    <row r="113" spans="1:14" x14ac:dyDescent="0.3">
      <c r="A113" t="str">
        <f>+'Historicals (2)'!A123</f>
        <v>Asia Pacific &amp; Latin America</v>
      </c>
    </row>
    <row r="114" spans="1:14" x14ac:dyDescent="0.3">
      <c r="A114" s="72" t="s">
        <v>224</v>
      </c>
      <c r="B114" s="72">
        <f t="shared" ref="B114:I114" si="86">B116+B120+B124</f>
        <v>755</v>
      </c>
      <c r="C114" s="72">
        <f t="shared" si="86"/>
        <v>4317</v>
      </c>
      <c r="D114" s="72">
        <f t="shared" si="86"/>
        <v>4737</v>
      </c>
      <c r="E114" s="72">
        <f t="shared" si="86"/>
        <v>5166</v>
      </c>
      <c r="F114" s="72">
        <f t="shared" si="86"/>
        <v>5254</v>
      </c>
      <c r="G114" s="72">
        <f t="shared" si="86"/>
        <v>5028</v>
      </c>
      <c r="H114" s="72">
        <f t="shared" si="86"/>
        <v>5343</v>
      </c>
      <c r="I114" s="72">
        <f t="shared" si="86"/>
        <v>5955</v>
      </c>
      <c r="J114" s="58">
        <f>+SUM(J116+J120+J124)</f>
        <v>7095.92</v>
      </c>
      <c r="K114" s="58">
        <f>+SUM(K116+K120+K124)</f>
        <v>8462.9875999999986</v>
      </c>
      <c r="L114" s="58">
        <f>+SUM(L116+L120+L124)</f>
        <v>10102.933807999998</v>
      </c>
      <c r="M114" s="58">
        <f>+SUM(M116+M120+M124)</f>
        <v>12072.657349639998</v>
      </c>
      <c r="N114" s="58">
        <f>+SUM(N116+N120+N124)</f>
        <v>14441.578215771196</v>
      </c>
    </row>
    <row r="115" spans="1:14" x14ac:dyDescent="0.3">
      <c r="A115" s="73" t="s">
        <v>225</v>
      </c>
      <c r="B115" s="74" t="str">
        <f t="shared" ref="B115:N115" si="87">+IFERROR(B114/A114-1,"nm")</f>
        <v>nm</v>
      </c>
      <c r="C115" s="74">
        <f t="shared" si="87"/>
        <v>4.717880794701987</v>
      </c>
      <c r="D115" s="74">
        <f t="shared" si="87"/>
        <v>9.7289784572619942E-2</v>
      </c>
      <c r="E115" s="74">
        <f t="shared" si="87"/>
        <v>9.0563647878403986E-2</v>
      </c>
      <c r="F115" s="74">
        <f t="shared" si="87"/>
        <v>1.7034456058846237E-2</v>
      </c>
      <c r="G115" s="74">
        <f t="shared" si="87"/>
        <v>-4.3014845831747195E-2</v>
      </c>
      <c r="H115" s="74">
        <f t="shared" si="87"/>
        <v>6.2649164677804237E-2</v>
      </c>
      <c r="I115" s="74">
        <f t="shared" si="87"/>
        <v>0.11454239191465465</v>
      </c>
      <c r="J115" s="70">
        <f t="shared" si="87"/>
        <v>0.19159026028547443</v>
      </c>
      <c r="K115" s="70">
        <f t="shared" si="87"/>
        <v>0.19265544143676916</v>
      </c>
      <c r="L115" s="70">
        <f t="shared" si="87"/>
        <v>0.19377863770000081</v>
      </c>
      <c r="M115" s="70">
        <f t="shared" si="87"/>
        <v>0.19496550002933577</v>
      </c>
      <c r="N115" s="70">
        <f t="shared" si="87"/>
        <v>0.19622199135816931</v>
      </c>
    </row>
    <row r="116" spans="1:14" x14ac:dyDescent="0.3">
      <c r="A116" s="75" t="s">
        <v>226</v>
      </c>
      <c r="B116" s="65">
        <f>+'Historicals (2)'!B124</f>
        <v>452</v>
      </c>
      <c r="C116" s="65">
        <f>+'Historicals (2)'!C124</f>
        <v>2930</v>
      </c>
      <c r="D116" s="65">
        <f>+'Historicals (2)'!D124</f>
        <v>3285</v>
      </c>
      <c r="E116" s="65">
        <f>+'Historicals (2)'!E124</f>
        <v>3575</v>
      </c>
      <c r="F116" s="65">
        <f>+'Historicals (2)'!F124</f>
        <v>3622</v>
      </c>
      <c r="G116" s="65">
        <f>+'Historicals (2)'!G124</f>
        <v>3449</v>
      </c>
      <c r="H116" s="65">
        <f>+'Historicals (2)'!H124</f>
        <v>3659</v>
      </c>
      <c r="I116" s="65">
        <f>+'Historicals (2)'!I124</f>
        <v>4111</v>
      </c>
      <c r="J116" s="58">
        <f>+I116*(1+J117)</f>
        <v>4933.2</v>
      </c>
      <c r="K116" s="58">
        <f>+J116*(1+K117)</f>
        <v>5919.8399999999992</v>
      </c>
      <c r="L116" s="58">
        <f>+K116*(1+L117)</f>
        <v>7103.8079999999991</v>
      </c>
      <c r="M116" s="58">
        <f>+L116*(1+M117)</f>
        <v>8524.5695999999989</v>
      </c>
      <c r="N116" s="58">
        <f>+M116*(1+N117)</f>
        <v>10229.483519999998</v>
      </c>
    </row>
    <row r="117" spans="1:14" x14ac:dyDescent="0.3">
      <c r="A117" s="73" t="s">
        <v>225</v>
      </c>
      <c r="B117" s="74" t="str">
        <f t="shared" ref="B117:I117" si="88">+IFERROR(B116/A116-1,"nm")</f>
        <v>nm</v>
      </c>
      <c r="C117" s="74">
        <f t="shared" si="88"/>
        <v>5.4823008849557526</v>
      </c>
      <c r="D117" s="74">
        <f t="shared" si="88"/>
        <v>0.12116040955631391</v>
      </c>
      <c r="E117" s="74">
        <f t="shared" si="88"/>
        <v>8.8280060882800715E-2</v>
      </c>
      <c r="F117" s="74">
        <f t="shared" si="88"/>
        <v>1.3146853146853044E-2</v>
      </c>
      <c r="G117" s="74">
        <f t="shared" si="88"/>
        <v>-4.7763666482606326E-2</v>
      </c>
      <c r="H117" s="74">
        <f t="shared" si="88"/>
        <v>6.0887213685126174E-2</v>
      </c>
      <c r="I117" s="74">
        <f t="shared" si="88"/>
        <v>0.12353101940420874</v>
      </c>
      <c r="J117" s="70">
        <f>+J118+J119</f>
        <v>0.2</v>
      </c>
      <c r="K117" s="70">
        <f>+K118+K119</f>
        <v>0.2</v>
      </c>
      <c r="L117" s="70">
        <f>+L118+L119</f>
        <v>0.2</v>
      </c>
      <c r="M117" s="70">
        <f>+M118+M119</f>
        <v>0.2</v>
      </c>
      <c r="N117" s="70">
        <f>+N118+N119</f>
        <v>0.2</v>
      </c>
    </row>
    <row r="118" spans="1:14" x14ac:dyDescent="0.3">
      <c r="A118" s="73" t="s">
        <v>227</v>
      </c>
      <c r="B118" s="74">
        <f>+'Historicals (2)'!B196</f>
        <v>0</v>
      </c>
      <c r="C118" s="74">
        <f>+'Historicals (2)'!C196</f>
        <v>5.4823008849557526</v>
      </c>
      <c r="D118" s="74">
        <f>+'Historicals (2)'!D196</f>
        <v>0.12116040955631399</v>
      </c>
      <c r="E118" s="74">
        <f>+'Historicals (2)'!E196</f>
        <v>8.8280060882800604E-2</v>
      </c>
      <c r="F118" s="74">
        <f>+'Historicals (2)'!F196</f>
        <v>1.3146853146853148E-2</v>
      </c>
      <c r="G118" s="74">
        <f>+'Historicals (2)'!G196</f>
        <v>-4.7763666482606291E-2</v>
      </c>
      <c r="H118" s="74">
        <f>+'Historicals (2)'!H196</f>
        <v>6.0887213685126125E-2</v>
      </c>
      <c r="I118" s="74">
        <f>+'Historicals (2)'!I196</f>
        <v>0.17</v>
      </c>
      <c r="J118" s="70">
        <v>0.2</v>
      </c>
      <c r="K118" s="70">
        <f t="shared" ref="K118:N119" si="89">+J118</f>
        <v>0.2</v>
      </c>
      <c r="L118" s="70">
        <f t="shared" si="89"/>
        <v>0.2</v>
      </c>
      <c r="M118" s="70">
        <f t="shared" si="89"/>
        <v>0.2</v>
      </c>
      <c r="N118" s="70">
        <f t="shared" si="89"/>
        <v>0.2</v>
      </c>
    </row>
    <row r="119" spans="1:14" x14ac:dyDescent="0.3">
      <c r="A119" s="73" t="s">
        <v>228</v>
      </c>
      <c r="B119" s="74" t="str">
        <f t="shared" ref="B119:I119" si="90">+IFERROR(B117-B118,"nm")</f>
        <v>nm</v>
      </c>
      <c r="C119" s="74">
        <f t="shared" si="90"/>
        <v>0</v>
      </c>
      <c r="D119" s="74">
        <f t="shared" si="90"/>
        <v>-8.3266726846886741E-17</v>
      </c>
      <c r="E119" s="74">
        <f t="shared" si="90"/>
        <v>1.1102230246251565E-16</v>
      </c>
      <c r="F119" s="74">
        <f t="shared" si="90"/>
        <v>-1.0408340855860843E-16</v>
      </c>
      <c r="G119" s="74">
        <f t="shared" si="90"/>
        <v>-3.4694469519536142E-17</v>
      </c>
      <c r="H119" s="74">
        <f t="shared" si="90"/>
        <v>4.8572257327350599E-17</v>
      </c>
      <c r="I119" s="74">
        <f t="shared" si="90"/>
        <v>-4.646898059579127E-2</v>
      </c>
      <c r="J119" s="70">
        <v>0</v>
      </c>
      <c r="K119" s="70">
        <f t="shared" si="89"/>
        <v>0</v>
      </c>
      <c r="L119" s="70">
        <f t="shared" si="89"/>
        <v>0</v>
      </c>
      <c r="M119" s="70">
        <f t="shared" si="89"/>
        <v>0</v>
      </c>
      <c r="N119" s="70">
        <f t="shared" si="89"/>
        <v>0</v>
      </c>
    </row>
    <row r="120" spans="1:14" x14ac:dyDescent="0.3">
      <c r="A120" s="75" t="s">
        <v>229</v>
      </c>
      <c r="B120" s="65">
        <f>+'Historicals (2)'!B125</f>
        <v>230</v>
      </c>
      <c r="C120" s="65">
        <f>+'Historicals (2)'!C125</f>
        <v>1117</v>
      </c>
      <c r="D120" s="65">
        <f>+'Historicals (2)'!D125</f>
        <v>1185</v>
      </c>
      <c r="E120" s="65">
        <f>+'Historicals (2)'!E125</f>
        <v>1347</v>
      </c>
      <c r="F120" s="65">
        <f>+'Historicals (2)'!F125</f>
        <v>1395</v>
      </c>
      <c r="G120" s="65">
        <f>+'Historicals (2)'!G125</f>
        <v>1365</v>
      </c>
      <c r="H120" s="65">
        <f>+'Historicals (2)'!H125</f>
        <v>1494</v>
      </c>
      <c r="I120" s="65">
        <f>+'Historicals (2)'!I125</f>
        <v>1610</v>
      </c>
      <c r="J120" s="58">
        <f>+I120*(1+J121)</f>
        <v>1851.4999999999998</v>
      </c>
      <c r="K120" s="58">
        <f>+J120*(1+K121)</f>
        <v>2129.2249999999995</v>
      </c>
      <c r="L120" s="58">
        <f>+K120*(1+L121)</f>
        <v>2448.608749999999</v>
      </c>
      <c r="M120" s="58">
        <f>+L120*(1+M121)</f>
        <v>2815.9000624999985</v>
      </c>
      <c r="N120" s="58">
        <f>+M120*(1+N121)</f>
        <v>3238.2850718749978</v>
      </c>
    </row>
    <row r="121" spans="1:14" x14ac:dyDescent="0.3">
      <c r="A121" s="73" t="s">
        <v>225</v>
      </c>
      <c r="B121" s="74" t="str">
        <f t="shared" ref="B121:I121" si="91">+IFERROR(B120/A120-1,"nm")</f>
        <v>nm</v>
      </c>
      <c r="C121" s="74">
        <f t="shared" si="91"/>
        <v>3.8565217391304349</v>
      </c>
      <c r="D121" s="74">
        <f t="shared" si="91"/>
        <v>6.0877350044762801E-2</v>
      </c>
      <c r="E121" s="74">
        <f t="shared" si="91"/>
        <v>0.13670886075949373</v>
      </c>
      <c r="F121" s="74">
        <f t="shared" si="91"/>
        <v>3.563474387527843E-2</v>
      </c>
      <c r="G121" s="74">
        <f t="shared" si="91"/>
        <v>-2.1505376344086002E-2</v>
      </c>
      <c r="H121" s="74">
        <f t="shared" si="91"/>
        <v>9.4505494505494614E-2</v>
      </c>
      <c r="I121" s="74">
        <f t="shared" si="91"/>
        <v>7.7643908969210251E-2</v>
      </c>
      <c r="J121" s="70">
        <f>+J122+J123</f>
        <v>0.15</v>
      </c>
      <c r="K121" s="70">
        <f>+K122+K123</f>
        <v>0.15</v>
      </c>
      <c r="L121" s="70">
        <f>+L122+L123</f>
        <v>0.15</v>
      </c>
      <c r="M121" s="70">
        <f>+M122+M123</f>
        <v>0.15</v>
      </c>
      <c r="N121" s="70">
        <f>+N122+N123</f>
        <v>0.15</v>
      </c>
    </row>
    <row r="122" spans="1:14" x14ac:dyDescent="0.3">
      <c r="A122" s="73" t="s">
        <v>227</v>
      </c>
      <c r="B122" s="74">
        <f>+'Historicals (2)'!B197</f>
        <v>0</v>
      </c>
      <c r="C122" s="74">
        <f>+'Historicals (2)'!C197</f>
        <v>3.8565217391304349</v>
      </c>
      <c r="D122" s="74">
        <f>+'Historicals (2)'!D197</f>
        <v>6.087735004476276E-2</v>
      </c>
      <c r="E122" s="74">
        <f>+'Historicals (2)'!E197</f>
        <v>0.13670886075949368</v>
      </c>
      <c r="F122" s="74">
        <f>+'Historicals (2)'!F197</f>
        <v>3.5634743875278395E-2</v>
      </c>
      <c r="G122" s="74">
        <f>+'Historicals (2)'!G197</f>
        <v>-2.1505376344086023E-2</v>
      </c>
      <c r="H122" s="74">
        <f>+'Historicals (2)'!H197</f>
        <v>9.4505494505494503E-2</v>
      </c>
      <c r="I122" s="74">
        <f>+'Historicals (2)'!I197</f>
        <v>0.12</v>
      </c>
      <c r="J122" s="70">
        <v>0.15</v>
      </c>
      <c r="K122" s="70">
        <f t="shared" ref="K122:N123" si="92">+J122</f>
        <v>0.15</v>
      </c>
      <c r="L122" s="70">
        <f t="shared" si="92"/>
        <v>0.15</v>
      </c>
      <c r="M122" s="70">
        <f t="shared" si="92"/>
        <v>0.15</v>
      </c>
      <c r="N122" s="70">
        <f t="shared" si="92"/>
        <v>0.15</v>
      </c>
    </row>
    <row r="123" spans="1:14" x14ac:dyDescent="0.3">
      <c r="A123" s="73" t="s">
        <v>228</v>
      </c>
      <c r="B123" s="74" t="str">
        <f t="shared" ref="B123:I123" si="93">+IFERROR(B121-B122,"nm")</f>
        <v>nm</v>
      </c>
      <c r="C123" s="74">
        <f t="shared" si="93"/>
        <v>0</v>
      </c>
      <c r="D123" s="74">
        <f t="shared" si="93"/>
        <v>4.163336342344337E-17</v>
      </c>
      <c r="E123" s="74">
        <f t="shared" si="93"/>
        <v>5.5511151231257827E-17</v>
      </c>
      <c r="F123" s="74">
        <f t="shared" si="93"/>
        <v>3.4694469519536142E-17</v>
      </c>
      <c r="G123" s="74">
        <f t="shared" si="93"/>
        <v>2.0816681711721685E-17</v>
      </c>
      <c r="H123" s="74">
        <f t="shared" si="93"/>
        <v>1.1102230246251565E-16</v>
      </c>
      <c r="I123" s="74">
        <f t="shared" si="93"/>
        <v>-4.2356091030789744E-2</v>
      </c>
      <c r="J123" s="70">
        <v>0</v>
      </c>
      <c r="K123" s="70">
        <f t="shared" si="92"/>
        <v>0</v>
      </c>
      <c r="L123" s="70">
        <f t="shared" si="92"/>
        <v>0</v>
      </c>
      <c r="M123" s="70">
        <f t="shared" si="92"/>
        <v>0</v>
      </c>
      <c r="N123" s="70">
        <f t="shared" si="92"/>
        <v>0</v>
      </c>
    </row>
    <row r="124" spans="1:14" x14ac:dyDescent="0.3">
      <c r="A124" s="75" t="s">
        <v>230</v>
      </c>
      <c r="B124" s="65">
        <f>+'Historicals (2)'!B126</f>
        <v>73</v>
      </c>
      <c r="C124" s="65">
        <f>+'Historicals (2)'!C126</f>
        <v>270</v>
      </c>
      <c r="D124" s="65">
        <f>+'Historicals (2)'!D126</f>
        <v>267</v>
      </c>
      <c r="E124" s="65">
        <f>+'Historicals (2)'!E126</f>
        <v>244</v>
      </c>
      <c r="F124" s="65">
        <f>+'Historicals (2)'!F126</f>
        <v>237</v>
      </c>
      <c r="G124" s="65">
        <f>+'Historicals (2)'!G126</f>
        <v>214</v>
      </c>
      <c r="H124" s="65">
        <f>+'Historicals (2)'!H126</f>
        <v>190</v>
      </c>
      <c r="I124" s="65">
        <f>+'Historicals (2)'!I126</f>
        <v>234</v>
      </c>
      <c r="J124" s="58">
        <f>+I124*(1+J125)</f>
        <v>311.22000000000003</v>
      </c>
      <c r="K124" s="58">
        <f>+J124*(1+K125)</f>
        <v>413.92260000000005</v>
      </c>
      <c r="L124" s="58">
        <f>+K124*(1+L125)</f>
        <v>550.51705800000013</v>
      </c>
      <c r="M124" s="58">
        <f>+L124*(1+M125)</f>
        <v>732.18768714000021</v>
      </c>
      <c r="N124" s="58">
        <f>+M124*(1+N125)</f>
        <v>973.80962389620038</v>
      </c>
    </row>
    <row r="125" spans="1:14" x14ac:dyDescent="0.3">
      <c r="A125" s="73" t="s">
        <v>225</v>
      </c>
      <c r="B125" s="74" t="str">
        <f t="shared" ref="B125:I125" si="94">+IFERROR(B124/A124-1,"nm")</f>
        <v>nm</v>
      </c>
      <c r="C125" s="74">
        <f t="shared" si="94"/>
        <v>2.6986301369863015</v>
      </c>
      <c r="D125" s="74">
        <f t="shared" si="94"/>
        <v>-1.1111111111111072E-2</v>
      </c>
      <c r="E125" s="74">
        <f t="shared" si="94"/>
        <v>-8.6142322097378266E-2</v>
      </c>
      <c r="F125" s="74">
        <f t="shared" si="94"/>
        <v>-2.8688524590163911E-2</v>
      </c>
      <c r="G125" s="74">
        <f t="shared" si="94"/>
        <v>-9.7046413502109741E-2</v>
      </c>
      <c r="H125" s="74">
        <f t="shared" si="94"/>
        <v>-0.11214953271028039</v>
      </c>
      <c r="I125" s="74">
        <f t="shared" si="94"/>
        <v>0.23157894736842111</v>
      </c>
      <c r="J125" s="70">
        <f>+J126+J127</f>
        <v>0.33</v>
      </c>
      <c r="K125" s="70">
        <f>+K126+K127</f>
        <v>0.33</v>
      </c>
      <c r="L125" s="70">
        <f>+L126+L127</f>
        <v>0.33</v>
      </c>
      <c r="M125" s="70">
        <f>+M126+M127</f>
        <v>0.33</v>
      </c>
      <c r="N125" s="70">
        <f>+N126+N127</f>
        <v>0.33</v>
      </c>
    </row>
    <row r="126" spans="1:14" x14ac:dyDescent="0.3">
      <c r="A126" s="73" t="s">
        <v>227</v>
      </c>
      <c r="B126" s="74">
        <f>+'Historicals (2)'!B198</f>
        <v>0</v>
      </c>
      <c r="C126" s="74">
        <f>+'Historicals (2)'!C198</f>
        <v>2.6986301369863015</v>
      </c>
      <c r="D126" s="74">
        <f>+'Historicals (2)'!D198</f>
        <v>-1.1111111111111112E-2</v>
      </c>
      <c r="E126" s="74">
        <f>+'Historicals (2)'!E198</f>
        <v>-8.6142322097378279E-2</v>
      </c>
      <c r="F126" s="74">
        <f>+'Historicals (2)'!F198</f>
        <v>-2.8688524590163935E-2</v>
      </c>
      <c r="G126" s="74">
        <f>+'Historicals (2)'!G198</f>
        <v>-9.7046413502109699E-2</v>
      </c>
      <c r="H126" s="74">
        <f>+'Historicals (2)'!H198</f>
        <v>-0.11214953271028037</v>
      </c>
      <c r="I126" s="74">
        <f>+'Historicals (2)'!I198</f>
        <v>0.28000000000000003</v>
      </c>
      <c r="J126" s="70">
        <v>0.33</v>
      </c>
      <c r="K126" s="70">
        <f t="shared" ref="K126:N127" si="95">+J126</f>
        <v>0.33</v>
      </c>
      <c r="L126" s="70">
        <f t="shared" si="95"/>
        <v>0.33</v>
      </c>
      <c r="M126" s="70">
        <f t="shared" si="95"/>
        <v>0.33</v>
      </c>
      <c r="N126" s="70">
        <f t="shared" si="95"/>
        <v>0.33</v>
      </c>
    </row>
    <row r="127" spans="1:14" x14ac:dyDescent="0.3">
      <c r="A127" s="73" t="s">
        <v>228</v>
      </c>
      <c r="B127" s="74" t="str">
        <f t="shared" ref="B127:I127" si="96">+IFERROR(B125-B126,"nm")</f>
        <v>nm</v>
      </c>
      <c r="C127" s="74">
        <f t="shared" si="96"/>
        <v>0</v>
      </c>
      <c r="D127" s="74">
        <f t="shared" si="96"/>
        <v>3.9898639947466563E-17</v>
      </c>
      <c r="E127" s="74">
        <f t="shared" si="96"/>
        <v>1.3877787807814457E-17</v>
      </c>
      <c r="F127" s="74">
        <f t="shared" si="96"/>
        <v>2.4286128663675299E-17</v>
      </c>
      <c r="G127" s="74">
        <f t="shared" si="96"/>
        <v>-4.163336342344337E-17</v>
      </c>
      <c r="H127" s="74">
        <f t="shared" si="96"/>
        <v>-1.3877787807814457E-17</v>
      </c>
      <c r="I127" s="74">
        <f t="shared" si="96"/>
        <v>-4.842105263157892E-2</v>
      </c>
      <c r="J127" s="70">
        <v>0</v>
      </c>
      <c r="K127" s="70">
        <f t="shared" si="95"/>
        <v>0</v>
      </c>
      <c r="L127" s="70">
        <f t="shared" si="95"/>
        <v>0</v>
      </c>
      <c r="M127" s="70">
        <f t="shared" si="95"/>
        <v>0</v>
      </c>
      <c r="N127" s="70">
        <f t="shared" si="95"/>
        <v>0</v>
      </c>
    </row>
    <row r="128" spans="1:14" x14ac:dyDescent="0.3">
      <c r="A128" s="72" t="s">
        <v>231</v>
      </c>
      <c r="B128" s="72">
        <f t="shared" ref="B128:I128" si="97">+B135+B131</f>
        <v>122</v>
      </c>
      <c r="C128" s="72">
        <f t="shared" si="97"/>
        <v>1044</v>
      </c>
      <c r="D128" s="72">
        <f t="shared" si="97"/>
        <v>1034</v>
      </c>
      <c r="E128" s="72">
        <f t="shared" si="97"/>
        <v>1244</v>
      </c>
      <c r="F128" s="72">
        <f t="shared" si="97"/>
        <v>1376</v>
      </c>
      <c r="G128" s="72">
        <f t="shared" si="97"/>
        <v>1230</v>
      </c>
      <c r="H128" s="72">
        <f t="shared" si="97"/>
        <v>1573</v>
      </c>
      <c r="I128" s="72">
        <f t="shared" si="97"/>
        <v>1938</v>
      </c>
      <c r="J128" s="58">
        <f>+J114*J130</f>
        <v>567.67359999999996</v>
      </c>
      <c r="K128" s="58">
        <f>+K114*K130</f>
        <v>677.03900799999985</v>
      </c>
      <c r="L128" s="58">
        <f>+L114*L130</f>
        <v>808.2347046399999</v>
      </c>
      <c r="M128" s="58">
        <f>+M114*M130</f>
        <v>965.81258797119983</v>
      </c>
      <c r="N128" s="58">
        <f>+N114*N130</f>
        <v>1155.3262572616957</v>
      </c>
    </row>
    <row r="129" spans="1:14" x14ac:dyDescent="0.3">
      <c r="A129" s="76" t="s">
        <v>225</v>
      </c>
      <c r="B129" s="74" t="str">
        <f t="shared" ref="B129:N129" si="98">+IFERROR(B128/A128-1,"nm")</f>
        <v>nm</v>
      </c>
      <c r="C129" s="74">
        <f t="shared" si="98"/>
        <v>7.557377049180328</v>
      </c>
      <c r="D129" s="74">
        <f t="shared" si="98"/>
        <v>-9.5785440613026518E-3</v>
      </c>
      <c r="E129" s="74">
        <f t="shared" si="98"/>
        <v>0.20309477756286265</v>
      </c>
      <c r="F129" s="74">
        <f t="shared" si="98"/>
        <v>0.10610932475884249</v>
      </c>
      <c r="G129" s="74">
        <f t="shared" si="98"/>
        <v>-0.10610465116279066</v>
      </c>
      <c r="H129" s="74">
        <f t="shared" si="98"/>
        <v>0.27886178861788613</v>
      </c>
      <c r="I129" s="74">
        <f t="shared" si="98"/>
        <v>0.23204068658614108</v>
      </c>
      <c r="J129" s="70">
        <f t="shared" si="98"/>
        <v>-0.7070827657378741</v>
      </c>
      <c r="K129" s="70">
        <f t="shared" si="98"/>
        <v>0.19265544143676916</v>
      </c>
      <c r="L129" s="70">
        <f t="shared" si="98"/>
        <v>0.19377863770000103</v>
      </c>
      <c r="M129" s="70">
        <f t="shared" si="98"/>
        <v>0.19496550002933555</v>
      </c>
      <c r="N129" s="70">
        <f t="shared" si="98"/>
        <v>0.19622199135816931</v>
      </c>
    </row>
    <row r="130" spans="1:14" x14ac:dyDescent="0.3">
      <c r="A130" s="76" t="s">
        <v>232</v>
      </c>
      <c r="B130" s="74">
        <f t="shared" ref="B130:I130" si="99">+IFERROR(B128/B$114,"nm")</f>
        <v>0.16158940397350993</v>
      </c>
      <c r="C130" s="74">
        <f t="shared" si="99"/>
        <v>0.24183460736622656</v>
      </c>
      <c r="D130" s="74">
        <f t="shared" si="99"/>
        <v>0.21828161283512773</v>
      </c>
      <c r="E130" s="74">
        <f t="shared" si="99"/>
        <v>0.2408052651955091</v>
      </c>
      <c r="F130" s="74">
        <f t="shared" si="99"/>
        <v>0.26189569851541683</v>
      </c>
      <c r="G130" s="74">
        <f t="shared" si="99"/>
        <v>0.24463007159904535</v>
      </c>
      <c r="H130" s="74">
        <f t="shared" si="99"/>
        <v>0.2944038929440389</v>
      </c>
      <c r="I130" s="74">
        <f t="shared" si="99"/>
        <v>0.32544080604534004</v>
      </c>
      <c r="J130" s="70">
        <v>0.08</v>
      </c>
      <c r="K130" s="70">
        <f>+J130</f>
        <v>0.08</v>
      </c>
      <c r="L130" s="70">
        <f>+K130</f>
        <v>0.08</v>
      </c>
      <c r="M130" s="70">
        <f>+L130</f>
        <v>0.08</v>
      </c>
      <c r="N130" s="70">
        <f>+M130</f>
        <v>0.08</v>
      </c>
    </row>
    <row r="131" spans="1:14" x14ac:dyDescent="0.3">
      <c r="A131" s="72" t="s">
        <v>233</v>
      </c>
      <c r="B131" s="72">
        <f>+'Historicals (2)'!B174</f>
        <v>22</v>
      </c>
      <c r="C131" s="72">
        <f>+'Historicals (2)'!C174</f>
        <v>42</v>
      </c>
      <c r="D131" s="72">
        <f>+'Historicals (2)'!D174</f>
        <v>54</v>
      </c>
      <c r="E131" s="72">
        <f>+'Historicals (2)'!E174</f>
        <v>55</v>
      </c>
      <c r="F131" s="72">
        <f>+'Historicals (2)'!F174</f>
        <v>53</v>
      </c>
      <c r="G131" s="72">
        <f>+'Historicals (2)'!G174</f>
        <v>46</v>
      </c>
      <c r="H131" s="72">
        <f>+'Historicals (2)'!H174</f>
        <v>43</v>
      </c>
      <c r="I131" s="72">
        <f>+'Historicals (2)'!I174</f>
        <v>42</v>
      </c>
      <c r="J131" s="58">
        <f>+J134*J141</f>
        <v>372.53580000000005</v>
      </c>
      <c r="K131" s="58">
        <f>+K134*K141</f>
        <v>444.306849</v>
      </c>
      <c r="L131" s="58">
        <f>+L134*L141</f>
        <v>530.40402491999998</v>
      </c>
      <c r="M131" s="58">
        <f>+M134*M141</f>
        <v>633.81451085610001</v>
      </c>
      <c r="N131" s="58">
        <f>+N134*N141</f>
        <v>758.18285632798779</v>
      </c>
    </row>
    <row r="132" spans="1:14" x14ac:dyDescent="0.3">
      <c r="A132" s="76" t="s">
        <v>225</v>
      </c>
      <c r="B132" s="74" t="str">
        <f t="shared" ref="B132:N132" si="100">+IFERROR(B131/A131-1,"nm")</f>
        <v>nm</v>
      </c>
      <c r="C132" s="74">
        <f t="shared" si="100"/>
        <v>0.90909090909090917</v>
      </c>
      <c r="D132" s="74">
        <f t="shared" si="100"/>
        <v>0.28571428571428581</v>
      </c>
      <c r="E132" s="74">
        <f t="shared" si="100"/>
        <v>1.8518518518518601E-2</v>
      </c>
      <c r="F132" s="74">
        <f t="shared" si="100"/>
        <v>-3.6363636363636376E-2</v>
      </c>
      <c r="G132" s="74">
        <f t="shared" si="100"/>
        <v>-0.13207547169811318</v>
      </c>
      <c r="H132" s="74">
        <f t="shared" si="100"/>
        <v>-6.5217391304347783E-2</v>
      </c>
      <c r="I132" s="74">
        <f t="shared" si="100"/>
        <v>-2.3255813953488413E-2</v>
      </c>
      <c r="J132" s="70">
        <f t="shared" si="100"/>
        <v>7.8699000000000012</v>
      </c>
      <c r="K132" s="70">
        <f t="shared" si="100"/>
        <v>0.19265544143676916</v>
      </c>
      <c r="L132" s="70">
        <f t="shared" si="100"/>
        <v>0.19377863770000081</v>
      </c>
      <c r="M132" s="70">
        <f t="shared" si="100"/>
        <v>0.19496550002933577</v>
      </c>
      <c r="N132" s="70">
        <f t="shared" si="100"/>
        <v>0.19622199135816909</v>
      </c>
    </row>
    <row r="133" spans="1:14" x14ac:dyDescent="0.3">
      <c r="A133" s="76" t="s">
        <v>234</v>
      </c>
      <c r="B133" s="74">
        <f t="shared" ref="B133:I133" si="101">+IFERROR(B131/B$114,"nm")</f>
        <v>2.9139072847682121E-2</v>
      </c>
      <c r="C133" s="74">
        <f t="shared" si="101"/>
        <v>9.7289784572619879E-3</v>
      </c>
      <c r="D133" s="74">
        <f t="shared" si="101"/>
        <v>1.1399620012666244E-2</v>
      </c>
      <c r="E133" s="74">
        <f t="shared" si="101"/>
        <v>1.064653503677894E-2</v>
      </c>
      <c r="F133" s="74">
        <f t="shared" si="101"/>
        <v>1.0087552341073468E-2</v>
      </c>
      <c r="G133" s="74">
        <f t="shared" si="101"/>
        <v>9.148766905330152E-3</v>
      </c>
      <c r="H133" s="74">
        <f t="shared" si="101"/>
        <v>8.0479131574022079E-3</v>
      </c>
      <c r="I133" s="74">
        <f t="shared" si="101"/>
        <v>7.0528967254408059E-3</v>
      </c>
      <c r="J133" s="70">
        <f>+IFERROR(J131/J$21,"nm")</f>
        <v>1.9483030211745807E-2</v>
      </c>
      <c r="K133" s="70">
        <f>+IFERROR(K131/K$21,"nm")</f>
        <v>2.2283155439961108E-2</v>
      </c>
      <c r="L133" s="70">
        <f>+IFERROR(L131/L$21,"nm")</f>
        <v>2.5483817389082702E-2</v>
      </c>
      <c r="M133" s="70">
        <f>+IFERROR(M131/M$21,"nm")</f>
        <v>2.9139730317918083E-2</v>
      </c>
      <c r="N133" s="70">
        <f>+IFERROR(N131/N$21,"nm")</f>
        <v>3.3312005622351246E-2</v>
      </c>
    </row>
    <row r="134" spans="1:14" x14ac:dyDescent="0.3">
      <c r="A134" s="76" t="s">
        <v>140</v>
      </c>
      <c r="B134" s="74">
        <f t="shared" ref="B134:I134" si="102">+IFERROR(B131/B141,"nm")</f>
        <v>1.4666666666666666</v>
      </c>
      <c r="C134" s="74">
        <f t="shared" si="102"/>
        <v>0.67741935483870963</v>
      </c>
      <c r="D134" s="74">
        <f t="shared" si="102"/>
        <v>0.9152542372881356</v>
      </c>
      <c r="E134" s="74">
        <f t="shared" si="102"/>
        <v>1.1224489795918366</v>
      </c>
      <c r="F134" s="74">
        <f t="shared" si="102"/>
        <v>1.1276595744680851</v>
      </c>
      <c r="G134" s="74">
        <f t="shared" si="102"/>
        <v>1.1219512195121952</v>
      </c>
      <c r="H134" s="74">
        <f t="shared" si="102"/>
        <v>0.79629629629629628</v>
      </c>
      <c r="I134" s="74">
        <f t="shared" si="102"/>
        <v>0.75</v>
      </c>
      <c r="J134" s="70">
        <f>+I134</f>
        <v>0.75</v>
      </c>
      <c r="K134" s="70">
        <f>+J134</f>
        <v>0.75</v>
      </c>
      <c r="L134" s="70">
        <f>+K134</f>
        <v>0.75</v>
      </c>
      <c r="M134" s="70">
        <f>+L134</f>
        <v>0.75</v>
      </c>
      <c r="N134" s="70">
        <f>+M134</f>
        <v>0.75</v>
      </c>
    </row>
    <row r="135" spans="1:14" x14ac:dyDescent="0.3">
      <c r="A135" s="72" t="s">
        <v>235</v>
      </c>
      <c r="B135" s="72">
        <f>+'Historicals (2)'!B141</f>
        <v>100</v>
      </c>
      <c r="C135" s="72">
        <f>+'Historicals (2)'!C141</f>
        <v>1002</v>
      </c>
      <c r="D135" s="72">
        <f>+'Historicals (2)'!D141</f>
        <v>980</v>
      </c>
      <c r="E135" s="72">
        <f>+'Historicals (2)'!E141</f>
        <v>1189</v>
      </c>
      <c r="F135" s="72">
        <f>+'Historicals (2)'!F141</f>
        <v>1323</v>
      </c>
      <c r="G135" s="72">
        <f>+'Historicals (2)'!G141</f>
        <v>1184</v>
      </c>
      <c r="H135" s="72">
        <f>+'Historicals (2)'!H141</f>
        <v>1530</v>
      </c>
      <c r="I135" s="72">
        <f>+'Historicals (2)'!I141</f>
        <v>1896</v>
      </c>
      <c r="J135" s="58">
        <f>+J128-J131</f>
        <v>195.13779999999991</v>
      </c>
      <c r="K135" s="58">
        <f>+K128-K131</f>
        <v>232.73215899999985</v>
      </c>
      <c r="L135" s="58">
        <f>+L128-L131</f>
        <v>277.83067971999992</v>
      </c>
      <c r="M135" s="58">
        <f>+M128-M131</f>
        <v>331.99807711509982</v>
      </c>
      <c r="N135" s="58">
        <f>+N128-N131</f>
        <v>397.14340093370788</v>
      </c>
    </row>
    <row r="136" spans="1:14" x14ac:dyDescent="0.3">
      <c r="A136" s="76" t="s">
        <v>225</v>
      </c>
      <c r="B136" s="74" t="str">
        <f t="shared" ref="B136:N136" si="103">+IFERROR(B135/A135-1,"nm")</f>
        <v>nm</v>
      </c>
      <c r="C136" s="74">
        <f t="shared" si="103"/>
        <v>9.02</v>
      </c>
      <c r="D136" s="74">
        <f t="shared" si="103"/>
        <v>-2.1956087824351322E-2</v>
      </c>
      <c r="E136" s="74">
        <f t="shared" si="103"/>
        <v>0.21326530612244898</v>
      </c>
      <c r="F136" s="74">
        <f t="shared" si="103"/>
        <v>0.11269974768713209</v>
      </c>
      <c r="G136" s="74">
        <f t="shared" si="103"/>
        <v>-0.1050642479213908</v>
      </c>
      <c r="H136" s="74">
        <f t="shared" si="103"/>
        <v>0.29222972972972983</v>
      </c>
      <c r="I136" s="74">
        <f t="shared" si="103"/>
        <v>0.23921568627450984</v>
      </c>
      <c r="J136" s="70">
        <f t="shared" si="103"/>
        <v>-0.8970792194092827</v>
      </c>
      <c r="K136" s="70">
        <f t="shared" si="103"/>
        <v>0.19265544143676916</v>
      </c>
      <c r="L136" s="70">
        <f t="shared" si="103"/>
        <v>0.19377863770000125</v>
      </c>
      <c r="M136" s="70">
        <f t="shared" si="103"/>
        <v>0.19496550002933533</v>
      </c>
      <c r="N136" s="70">
        <f t="shared" si="103"/>
        <v>0.19622199135816976</v>
      </c>
    </row>
    <row r="137" spans="1:14" x14ac:dyDescent="0.3">
      <c r="A137" s="76" t="s">
        <v>232</v>
      </c>
      <c r="B137" s="74">
        <f t="shared" ref="B137:I137" si="104">+IFERROR(B135/B$114,"nm")</f>
        <v>0.13245033112582782</v>
      </c>
      <c r="C137" s="74">
        <f t="shared" si="104"/>
        <v>0.23210562890896455</v>
      </c>
      <c r="D137" s="74">
        <f t="shared" si="104"/>
        <v>0.20688199282246147</v>
      </c>
      <c r="E137" s="74">
        <f t="shared" si="104"/>
        <v>0.23015873015873015</v>
      </c>
      <c r="F137" s="74">
        <f t="shared" si="104"/>
        <v>0.25180814617434338</v>
      </c>
      <c r="G137" s="74">
        <f t="shared" si="104"/>
        <v>0.2354813046937152</v>
      </c>
      <c r="H137" s="74">
        <f t="shared" si="104"/>
        <v>0.28635597978663674</v>
      </c>
      <c r="I137" s="74">
        <f t="shared" si="104"/>
        <v>0.31838790931989924</v>
      </c>
      <c r="J137" s="70">
        <f>+IFERROR(J135/J$21,"nm")</f>
        <v>1.020539677758113E-2</v>
      </c>
      <c r="K137" s="70">
        <f>+IFERROR(K135/K$21,"nm")</f>
        <v>1.167212903997962E-2</v>
      </c>
      <c r="L137" s="70">
        <f>+IFERROR(L135/L$21,"nm")</f>
        <v>1.3348666251424269E-2</v>
      </c>
      <c r="M137" s="70">
        <f>+IFERROR(M135/M$21,"nm")</f>
        <v>1.5263668261766606E-2</v>
      </c>
      <c r="N137" s="70">
        <f>+IFERROR(N135/N$21,"nm")</f>
        <v>1.7449145802183985E-2</v>
      </c>
    </row>
    <row r="138" spans="1:14" x14ac:dyDescent="0.3">
      <c r="A138" s="72" t="s">
        <v>236</v>
      </c>
      <c r="B138" s="72">
        <f>+'Historicals (2)'!B163</f>
        <v>15</v>
      </c>
      <c r="C138" s="72">
        <f>+'Historicals (2)'!C163</f>
        <v>62</v>
      </c>
      <c r="D138" s="72">
        <f>+'Historicals (2)'!D163</f>
        <v>59</v>
      </c>
      <c r="E138" s="72">
        <f>+'Historicals (2)'!E163</f>
        <v>49</v>
      </c>
      <c r="F138" s="72">
        <f>+'Historicals (2)'!F163</f>
        <v>47</v>
      </c>
      <c r="G138" s="72">
        <f>+'Historicals (2)'!G163</f>
        <v>41</v>
      </c>
      <c r="H138" s="72">
        <f>+'Historicals (2)'!H163</f>
        <v>54</v>
      </c>
      <c r="I138" s="72">
        <f>+'Historicals (2)'!I163</f>
        <v>56</v>
      </c>
      <c r="J138" s="58">
        <f>+J114*J140</f>
        <v>66.729054575986567</v>
      </c>
      <c r="K138" s="58">
        <f>+K114*K140</f>
        <v>79.584770041981514</v>
      </c>
      <c r="L138" s="58">
        <f>+L114*L140</f>
        <v>95.006598362384523</v>
      </c>
      <c r="M138" s="58">
        <f>+M114*M140</f>
        <v>113.52960731819309</v>
      </c>
      <c r="N138" s="58">
        <f>+N114*N140</f>
        <v>135.80661294427992</v>
      </c>
    </row>
    <row r="139" spans="1:14" x14ac:dyDescent="0.3">
      <c r="A139" s="76" t="s">
        <v>225</v>
      </c>
      <c r="B139" s="74" t="str">
        <f t="shared" ref="B139:I139" si="105">+IFERROR(B138/A138-1,"nm")</f>
        <v>nm</v>
      </c>
      <c r="C139" s="74">
        <f t="shared" si="105"/>
        <v>3.1333333333333337</v>
      </c>
      <c r="D139" s="74">
        <f t="shared" si="105"/>
        <v>-4.8387096774193505E-2</v>
      </c>
      <c r="E139" s="74">
        <f t="shared" si="105"/>
        <v>-0.16949152542372881</v>
      </c>
      <c r="F139" s="74">
        <f t="shared" si="105"/>
        <v>-4.081632653061229E-2</v>
      </c>
      <c r="G139" s="74">
        <f t="shared" si="105"/>
        <v>-0.12765957446808507</v>
      </c>
      <c r="H139" s="74">
        <f t="shared" si="105"/>
        <v>0.31707317073170738</v>
      </c>
      <c r="I139" s="74">
        <f t="shared" si="105"/>
        <v>3.7037037037036979E-2</v>
      </c>
      <c r="J139" s="70">
        <v>0</v>
      </c>
      <c r="K139" s="70">
        <f>+IFERROR(K138/J138-1,"nm")</f>
        <v>0.19265544143676916</v>
      </c>
      <c r="L139" s="70">
        <f>+IFERROR(L138/K138-1,"nm")</f>
        <v>0.19377863770000081</v>
      </c>
      <c r="M139" s="70">
        <f>+IFERROR(M138/L138-1,"nm")</f>
        <v>0.19496550002933577</v>
      </c>
      <c r="N139" s="70">
        <f>+IFERROR(N138/M138-1,"nm")</f>
        <v>0.19622199135816931</v>
      </c>
    </row>
    <row r="140" spans="1:14" x14ac:dyDescent="0.3">
      <c r="A140" s="76" t="s">
        <v>234</v>
      </c>
      <c r="B140" s="74">
        <f t="shared" ref="B140:I140" si="106">+IFERROR(B138/B$114,"nm")</f>
        <v>1.9867549668874173E-2</v>
      </c>
      <c r="C140" s="74">
        <f t="shared" si="106"/>
        <v>1.4361825341672458E-2</v>
      </c>
      <c r="D140" s="74">
        <f t="shared" si="106"/>
        <v>1.2455140384209416E-2</v>
      </c>
      <c r="E140" s="74">
        <f t="shared" si="106"/>
        <v>9.485094850948509E-3</v>
      </c>
      <c r="F140" s="74">
        <f t="shared" si="106"/>
        <v>8.9455652835934533E-3</v>
      </c>
      <c r="G140" s="74">
        <f t="shared" si="106"/>
        <v>8.1543357199681775E-3</v>
      </c>
      <c r="H140" s="74">
        <f t="shared" si="106"/>
        <v>1.0106681639528355E-2</v>
      </c>
      <c r="I140" s="74">
        <f t="shared" si="106"/>
        <v>9.4038623005877411E-3</v>
      </c>
      <c r="J140" s="70">
        <f>+I140</f>
        <v>9.4038623005877411E-3</v>
      </c>
      <c r="K140" s="70">
        <f>+J140</f>
        <v>9.4038623005877411E-3</v>
      </c>
      <c r="L140" s="70">
        <f>+K140</f>
        <v>9.4038623005877411E-3</v>
      </c>
      <c r="M140" s="70">
        <f>+L140</f>
        <v>9.4038623005877411E-3</v>
      </c>
      <c r="N140" s="70">
        <f>+M140</f>
        <v>9.4038623005877411E-3</v>
      </c>
    </row>
    <row r="141" spans="1:14" x14ac:dyDescent="0.3">
      <c r="A141" s="9" t="s">
        <v>141</v>
      </c>
      <c r="B141" s="9">
        <f>+'Historicals (2)'!B163</f>
        <v>15</v>
      </c>
      <c r="C141" s="9">
        <f>+'Historicals (2)'!C163</f>
        <v>62</v>
      </c>
      <c r="D141" s="9">
        <f>+'Historicals (2)'!D163</f>
        <v>59</v>
      </c>
      <c r="E141" s="9">
        <f>+'Historicals (2)'!E163</f>
        <v>49</v>
      </c>
      <c r="F141" s="9">
        <f>+'Historicals (2)'!F163</f>
        <v>47</v>
      </c>
      <c r="G141" s="9">
        <f>+'Historicals (2)'!G163</f>
        <v>41</v>
      </c>
      <c r="H141" s="77">
        <f>+'Historicals (2)'!H163</f>
        <v>54</v>
      </c>
      <c r="I141" s="77">
        <f>+'Historicals (2)'!I163</f>
        <v>56</v>
      </c>
      <c r="J141" s="58">
        <f>+J114*J143</f>
        <v>496.71440000000007</v>
      </c>
      <c r="K141" s="58">
        <f>+K114*K143</f>
        <v>592.409132</v>
      </c>
      <c r="L141" s="58">
        <f>+L114*L143</f>
        <v>707.2053665599999</v>
      </c>
      <c r="M141" s="58">
        <f>+M114*M143</f>
        <v>845.08601447479998</v>
      </c>
      <c r="N141" s="58">
        <f>+N114*N143</f>
        <v>1010.9104751039838</v>
      </c>
    </row>
    <row r="142" spans="1:14" x14ac:dyDescent="0.3">
      <c r="A142" s="44" t="s">
        <v>129</v>
      </c>
      <c r="B142" s="45" t="str">
        <f t="shared" ref="B142:I142" si="107">+IFERROR(B141/A141-1,"nm")</f>
        <v>nm</v>
      </c>
      <c r="C142" s="45">
        <f t="shared" si="107"/>
        <v>3.1333333333333337</v>
      </c>
      <c r="D142" s="45">
        <f t="shared" si="107"/>
        <v>-4.8387096774193505E-2</v>
      </c>
      <c r="E142" s="45">
        <f t="shared" si="107"/>
        <v>-0.16949152542372881</v>
      </c>
      <c r="F142" s="45">
        <f t="shared" si="107"/>
        <v>-4.081632653061229E-2</v>
      </c>
      <c r="G142" s="45">
        <f t="shared" si="107"/>
        <v>-0.12765957446808507</v>
      </c>
      <c r="H142" s="74">
        <f t="shared" si="107"/>
        <v>0.31707317073170738</v>
      </c>
      <c r="I142" s="74">
        <f t="shared" si="107"/>
        <v>3.7037037037036979E-2</v>
      </c>
      <c r="J142" s="70">
        <f>+J143+J144</f>
        <v>7.0000000000000007E-2</v>
      </c>
      <c r="K142" s="70">
        <f>+K143+K144</f>
        <v>7.0000000000000007E-2</v>
      </c>
      <c r="L142" s="70">
        <f>+L143+L144</f>
        <v>7.0000000000000007E-2</v>
      </c>
      <c r="M142" s="70">
        <f>+M143+M144</f>
        <v>7.0000000000000007E-2</v>
      </c>
      <c r="N142" s="70">
        <f>+N143+N144</f>
        <v>7.0000000000000007E-2</v>
      </c>
    </row>
    <row r="143" spans="1:14" x14ac:dyDescent="0.3">
      <c r="A143" s="44" t="s">
        <v>133</v>
      </c>
      <c r="B143" s="45">
        <f t="shared" ref="B143:I143" si="108">+IFERROR(B141/B$114,"nm")</f>
        <v>1.9867549668874173E-2</v>
      </c>
      <c r="C143" s="45">
        <f t="shared" si="108"/>
        <v>1.4361825341672458E-2</v>
      </c>
      <c r="D143" s="45">
        <f t="shared" si="108"/>
        <v>1.2455140384209416E-2</v>
      </c>
      <c r="E143" s="45">
        <f t="shared" si="108"/>
        <v>9.485094850948509E-3</v>
      </c>
      <c r="F143" s="45">
        <f t="shared" si="108"/>
        <v>8.9455652835934533E-3</v>
      </c>
      <c r="G143" s="45">
        <f t="shared" si="108"/>
        <v>8.1543357199681775E-3</v>
      </c>
      <c r="H143" s="74">
        <f t="shared" si="108"/>
        <v>1.0106681639528355E-2</v>
      </c>
      <c r="I143" s="74">
        <f t="shared" si="108"/>
        <v>9.4038623005877411E-3</v>
      </c>
      <c r="J143" s="70">
        <v>7.0000000000000007E-2</v>
      </c>
      <c r="K143" s="70">
        <f>+J143</f>
        <v>7.0000000000000007E-2</v>
      </c>
      <c r="L143" s="70">
        <f>+K143</f>
        <v>7.0000000000000007E-2</v>
      </c>
      <c r="M143" s="70">
        <f>+L143</f>
        <v>7.0000000000000007E-2</v>
      </c>
      <c r="N143" s="70">
        <f>+M143</f>
        <v>7.0000000000000007E-2</v>
      </c>
    </row>
    <row r="144" spans="1:14" x14ac:dyDescent="0.3">
      <c r="A144" t="str">
        <f>+'Historicals (2)'!A127</f>
        <v>Global Brand Divisions</v>
      </c>
    </row>
    <row r="145" spans="1:14" x14ac:dyDescent="0.3">
      <c r="A145" s="9" t="s">
        <v>136</v>
      </c>
      <c r="B145" s="9">
        <f>+'Historicals (2)'!B127</f>
        <v>115</v>
      </c>
      <c r="C145" s="9">
        <f>+'Historicals (2)'!C127</f>
        <v>73</v>
      </c>
      <c r="D145" s="9">
        <f>+'Historicals (2)'!D127</f>
        <v>73</v>
      </c>
      <c r="E145" s="9">
        <f>+'Historicals (2)'!E127</f>
        <v>88</v>
      </c>
      <c r="F145" s="9">
        <f>+'Historicals (2)'!F127</f>
        <v>42</v>
      </c>
      <c r="G145" s="9">
        <f>+'Historicals (2)'!G127</f>
        <v>30</v>
      </c>
      <c r="H145" s="9">
        <f>+'Historicals (2)'!H127</f>
        <v>25</v>
      </c>
      <c r="I145" s="9">
        <f>+'Historicals (2)'!I127</f>
        <v>102</v>
      </c>
      <c r="J145" s="58">
        <f>I145*J146</f>
        <v>132.6</v>
      </c>
      <c r="K145" s="58">
        <f>J145*K146</f>
        <v>145.86000000000001</v>
      </c>
      <c r="L145" s="58">
        <f>K145*L146</f>
        <v>160.44600000000003</v>
      </c>
      <c r="M145" s="58">
        <f>L145*M146</f>
        <v>176.49060000000006</v>
      </c>
      <c r="N145" s="58">
        <f>M145*N146</f>
        <v>194.13966000000008</v>
      </c>
    </row>
    <row r="146" spans="1:14" x14ac:dyDescent="0.3">
      <c r="A146" s="42" t="s">
        <v>129</v>
      </c>
      <c r="B146" s="45" t="str">
        <f t="shared" ref="B146:I146" si="109">+IFERROR(B145/A145-1,"nm")</f>
        <v>nm</v>
      </c>
      <c r="C146" s="45">
        <f t="shared" si="109"/>
        <v>-0.36521739130434783</v>
      </c>
      <c r="D146" s="45">
        <f t="shared" si="109"/>
        <v>0</v>
      </c>
      <c r="E146" s="45">
        <f t="shared" si="109"/>
        <v>0.20547945205479445</v>
      </c>
      <c r="F146" s="45">
        <f t="shared" si="109"/>
        <v>-0.52272727272727271</v>
      </c>
      <c r="G146" s="45">
        <f t="shared" si="109"/>
        <v>-0.2857142857142857</v>
      </c>
      <c r="H146" s="45">
        <f t="shared" si="109"/>
        <v>-0.16666666666666663</v>
      </c>
      <c r="I146" s="45">
        <f t="shared" si="109"/>
        <v>3.08</v>
      </c>
      <c r="J146" s="70">
        <v>1.3</v>
      </c>
      <c r="K146" s="70">
        <v>1.1000000000000001</v>
      </c>
      <c r="L146" s="70">
        <v>1.1000000000000001</v>
      </c>
      <c r="M146" s="70">
        <v>1.1000000000000001</v>
      </c>
      <c r="N146" s="70">
        <v>1.1000000000000001</v>
      </c>
    </row>
    <row r="147" spans="1:14" x14ac:dyDescent="0.3">
      <c r="A147" s="9" t="s">
        <v>130</v>
      </c>
      <c r="B147" s="46">
        <f t="shared" ref="B147:I147" si="110">+B154+B150</f>
        <v>-2057</v>
      </c>
      <c r="C147" s="46">
        <f t="shared" si="110"/>
        <v>-2366</v>
      </c>
      <c r="D147" s="46">
        <f t="shared" si="110"/>
        <v>-2444</v>
      </c>
      <c r="E147" s="46">
        <f t="shared" si="110"/>
        <v>-2441</v>
      </c>
      <c r="F147" s="46">
        <f t="shared" si="110"/>
        <v>-3067</v>
      </c>
      <c r="G147" s="46">
        <f t="shared" si="110"/>
        <v>-3254</v>
      </c>
      <c r="H147" s="46">
        <f t="shared" si="110"/>
        <v>-3434</v>
      </c>
      <c r="I147" s="46">
        <f t="shared" si="110"/>
        <v>-4042</v>
      </c>
      <c r="J147" s="58">
        <f>J145*J149</f>
        <v>-5254.5999999999995</v>
      </c>
      <c r="K147" s="58">
        <f>K145*K149</f>
        <v>-5780.06</v>
      </c>
      <c r="L147" s="58">
        <f>L145*L149</f>
        <v>-6358.0660000000007</v>
      </c>
      <c r="M147" s="58">
        <f>M145*M149</f>
        <v>-6993.8726000000015</v>
      </c>
      <c r="N147" s="58">
        <f>N145*N149</f>
        <v>-7693.2598600000028</v>
      </c>
    </row>
    <row r="148" spans="1:14" x14ac:dyDescent="0.3">
      <c r="A148" s="44" t="s">
        <v>129</v>
      </c>
      <c r="B148" s="45" t="str">
        <f t="shared" ref="B148:I148" si="111">+IFERROR(B147/A147-1,"nm")</f>
        <v>nm</v>
      </c>
      <c r="C148" s="45">
        <f t="shared" si="111"/>
        <v>0.15021876519202726</v>
      </c>
      <c r="D148" s="45">
        <f t="shared" si="111"/>
        <v>3.2967032967033072E-2</v>
      </c>
      <c r="E148" s="45">
        <f t="shared" si="111"/>
        <v>-1.2274959083469206E-3</v>
      </c>
      <c r="F148" s="45">
        <f t="shared" si="111"/>
        <v>0.25645227365833678</v>
      </c>
      <c r="G148" s="45">
        <f t="shared" si="111"/>
        <v>6.0971633518095869E-2</v>
      </c>
      <c r="H148" s="45">
        <f t="shared" si="111"/>
        <v>5.5316533497234088E-2</v>
      </c>
      <c r="I148" s="45">
        <f t="shared" si="111"/>
        <v>0.1770529994175889</v>
      </c>
      <c r="J148" s="70">
        <v>0.15</v>
      </c>
      <c r="K148" s="70">
        <v>0.15</v>
      </c>
      <c r="L148" s="70">
        <v>0.15</v>
      </c>
      <c r="M148" s="70">
        <v>0.15</v>
      </c>
      <c r="N148" s="70">
        <v>0.15</v>
      </c>
    </row>
    <row r="149" spans="1:14" x14ac:dyDescent="0.3">
      <c r="A149" s="44" t="s">
        <v>131</v>
      </c>
      <c r="B149" s="45">
        <f t="shared" ref="B149:I149" si="112">+IFERROR(B147/B$145,"nm")</f>
        <v>-17.88695652173913</v>
      </c>
      <c r="C149" s="45">
        <f t="shared" si="112"/>
        <v>-32.410958904109592</v>
      </c>
      <c r="D149" s="45">
        <f t="shared" si="112"/>
        <v>-33.479452054794521</v>
      </c>
      <c r="E149" s="45">
        <f t="shared" si="112"/>
        <v>-27.738636363636363</v>
      </c>
      <c r="F149" s="45">
        <f t="shared" si="112"/>
        <v>-73.023809523809518</v>
      </c>
      <c r="G149" s="45">
        <f t="shared" si="112"/>
        <v>-108.46666666666667</v>
      </c>
      <c r="H149" s="45">
        <f t="shared" si="112"/>
        <v>-137.36000000000001</v>
      </c>
      <c r="I149" s="45">
        <f t="shared" si="112"/>
        <v>-39.627450980392155</v>
      </c>
      <c r="J149" s="70">
        <f>I149</f>
        <v>-39.627450980392155</v>
      </c>
      <c r="K149" s="70">
        <f>J149</f>
        <v>-39.627450980392155</v>
      </c>
      <c r="L149" s="70">
        <f>K149</f>
        <v>-39.627450980392155</v>
      </c>
      <c r="M149" s="70">
        <f>L149</f>
        <v>-39.627450980392155</v>
      </c>
      <c r="N149" s="70">
        <f>M149</f>
        <v>-39.627450980392155</v>
      </c>
    </row>
    <row r="150" spans="1:14" x14ac:dyDescent="0.3">
      <c r="A150" s="9" t="s">
        <v>132</v>
      </c>
      <c r="B150" s="9">
        <f>+'Historicals (2)'!B175</f>
        <v>210</v>
      </c>
      <c r="C150" s="9">
        <f>+'Historicals (2)'!C175</f>
        <v>230</v>
      </c>
      <c r="D150" s="9">
        <f>+'Historicals (2)'!D175</f>
        <v>233</v>
      </c>
      <c r="E150" s="9">
        <f>+'Historicals (2)'!E175</f>
        <v>217</v>
      </c>
      <c r="F150" s="9">
        <f>+'Historicals (2)'!F175</f>
        <v>195</v>
      </c>
      <c r="G150" s="9">
        <f>+'Historicals (2)'!G175</f>
        <v>214</v>
      </c>
      <c r="H150" s="9">
        <f>+'Historicals (2)'!H175</f>
        <v>222</v>
      </c>
      <c r="I150" s="9">
        <f>+'Historicals (2)'!I175</f>
        <v>220</v>
      </c>
      <c r="J150" s="58">
        <f>+J153*J160</f>
        <v>286</v>
      </c>
      <c r="K150" s="58">
        <f>+K153*K160</f>
        <v>314.60000000000002</v>
      </c>
      <c r="L150" s="58">
        <f>+L153*L160</f>
        <v>346.06000000000006</v>
      </c>
      <c r="M150" s="58">
        <f>+M153*M160</f>
        <v>380.66600000000011</v>
      </c>
      <c r="N150" s="58">
        <f>+N153*N160</f>
        <v>418.7326000000001</v>
      </c>
    </row>
    <row r="151" spans="1:14" x14ac:dyDescent="0.3">
      <c r="A151" s="44" t="s">
        <v>129</v>
      </c>
      <c r="B151" s="45" t="str">
        <f t="shared" ref="B151:N151" si="113">+IFERROR(B150/A150-1,"nm")</f>
        <v>nm</v>
      </c>
      <c r="C151" s="45">
        <f t="shared" si="113"/>
        <v>9.5238095238095344E-2</v>
      </c>
      <c r="D151" s="45">
        <f t="shared" si="113"/>
        <v>1.304347826086949E-2</v>
      </c>
      <c r="E151" s="45">
        <f t="shared" si="113"/>
        <v>-6.8669527896995763E-2</v>
      </c>
      <c r="F151" s="45">
        <f t="shared" si="113"/>
        <v>-0.10138248847926268</v>
      </c>
      <c r="G151" s="45">
        <f t="shared" si="113"/>
        <v>9.7435897435897534E-2</v>
      </c>
      <c r="H151" s="45">
        <f t="shared" si="113"/>
        <v>3.7383177570093462E-2</v>
      </c>
      <c r="I151" s="45">
        <f t="shared" si="113"/>
        <v>-9.009009009009028E-3</v>
      </c>
      <c r="J151" s="70">
        <f t="shared" si="113"/>
        <v>0.30000000000000004</v>
      </c>
      <c r="K151" s="70">
        <f t="shared" si="113"/>
        <v>0.10000000000000009</v>
      </c>
      <c r="L151" s="70">
        <f t="shared" si="113"/>
        <v>0.10000000000000009</v>
      </c>
      <c r="M151" s="70">
        <f t="shared" si="113"/>
        <v>0.10000000000000009</v>
      </c>
      <c r="N151" s="70">
        <f t="shared" si="113"/>
        <v>9.9999999999999867E-2</v>
      </c>
    </row>
    <row r="152" spans="1:14" x14ac:dyDescent="0.3">
      <c r="A152" s="44" t="s">
        <v>133</v>
      </c>
      <c r="B152" s="45">
        <f t="shared" ref="B152:I152" si="114">+IFERROR(B150/B$145,"nm")</f>
        <v>1.826086956521739</v>
      </c>
      <c r="C152" s="45">
        <f t="shared" si="114"/>
        <v>3.1506849315068495</v>
      </c>
      <c r="D152" s="45">
        <f t="shared" si="114"/>
        <v>3.1917808219178081</v>
      </c>
      <c r="E152" s="45">
        <f t="shared" si="114"/>
        <v>2.4659090909090908</v>
      </c>
      <c r="F152" s="45">
        <f t="shared" si="114"/>
        <v>4.6428571428571432</v>
      </c>
      <c r="G152" s="45">
        <f t="shared" si="114"/>
        <v>7.1333333333333337</v>
      </c>
      <c r="H152" s="45">
        <f t="shared" si="114"/>
        <v>8.8800000000000008</v>
      </c>
      <c r="I152" s="45">
        <f t="shared" si="114"/>
        <v>2.1568627450980391</v>
      </c>
      <c r="J152" s="70">
        <f>+IFERROR(J150/J$21,"nm")</f>
        <v>1.4957345416358105E-2</v>
      </c>
      <c r="K152" s="70">
        <f>+IFERROR(K150/K$21,"nm")</f>
        <v>1.577801629029528E-2</v>
      </c>
      <c r="L152" s="70">
        <f>+IFERROR(L150/L$21,"nm")</f>
        <v>1.6626815467692024E-2</v>
      </c>
      <c r="M152" s="70">
        <f>+IFERROR(M150/M$21,"nm")</f>
        <v>1.750118432318289E-2</v>
      </c>
      <c r="N152" s="70">
        <f>+IFERROR(N150/N$21,"nm")</f>
        <v>1.839770262416424E-2</v>
      </c>
    </row>
    <row r="153" spans="1:14" x14ac:dyDescent="0.3">
      <c r="A153" s="44" t="s">
        <v>140</v>
      </c>
      <c r="B153" s="45">
        <f t="shared" ref="B153:I153" si="115">+IFERROR(B150/B160,"nm")</f>
        <v>0.43388429752066116</v>
      </c>
      <c r="C153" s="45">
        <f t="shared" si="115"/>
        <v>0.45009784735812131</v>
      </c>
      <c r="D153" s="45">
        <f t="shared" si="115"/>
        <v>0.43714821763602252</v>
      </c>
      <c r="E153" s="45">
        <f t="shared" si="115"/>
        <v>0.36348408710217756</v>
      </c>
      <c r="F153" s="45">
        <f t="shared" si="115"/>
        <v>0.2932330827067669</v>
      </c>
      <c r="G153" s="45">
        <f t="shared" si="115"/>
        <v>0.25783132530120484</v>
      </c>
      <c r="H153" s="45">
        <f t="shared" si="115"/>
        <v>0.2846153846153846</v>
      </c>
      <c r="I153" s="45">
        <f t="shared" si="115"/>
        <v>0.27883396704689478</v>
      </c>
      <c r="J153" s="70">
        <f>+I153</f>
        <v>0.27883396704689478</v>
      </c>
      <c r="K153" s="70">
        <f>+J153</f>
        <v>0.27883396704689478</v>
      </c>
      <c r="L153" s="70">
        <f>+K153</f>
        <v>0.27883396704689478</v>
      </c>
      <c r="M153" s="70">
        <f>+L153</f>
        <v>0.27883396704689478</v>
      </c>
      <c r="N153" s="70">
        <f>+M153</f>
        <v>0.27883396704689478</v>
      </c>
    </row>
    <row r="154" spans="1:14" x14ac:dyDescent="0.3">
      <c r="A154" s="9" t="s">
        <v>134</v>
      </c>
      <c r="B154" s="9">
        <f>+'Historicals (2)'!B142</f>
        <v>-2267</v>
      </c>
      <c r="C154" s="9">
        <f>+'Historicals (2)'!C142</f>
        <v>-2596</v>
      </c>
      <c r="D154" s="9">
        <f>+'Historicals (2)'!D142</f>
        <v>-2677</v>
      </c>
      <c r="E154" s="9">
        <f>+'Historicals (2)'!E142</f>
        <v>-2658</v>
      </c>
      <c r="F154" s="9">
        <f>+'Historicals (2)'!F142</f>
        <v>-3262</v>
      </c>
      <c r="G154" s="9">
        <f>+'Historicals (2)'!G142</f>
        <v>-3468</v>
      </c>
      <c r="H154" s="9">
        <f>+'Historicals (2)'!H142</f>
        <v>-3656</v>
      </c>
      <c r="I154" s="9">
        <f>+'Historicals (2)'!I142</f>
        <v>-4262</v>
      </c>
      <c r="J154" s="58">
        <f>+J147-J150</f>
        <v>-5540.5999999999995</v>
      </c>
      <c r="K154" s="58">
        <f>+K147-K150</f>
        <v>-6094.6600000000008</v>
      </c>
      <c r="L154" s="58">
        <f>+L147-L150</f>
        <v>-6704.1260000000011</v>
      </c>
      <c r="M154" s="58">
        <f>+M147-M150</f>
        <v>-7374.5386000000017</v>
      </c>
      <c r="N154" s="58">
        <f>+N147-N150</f>
        <v>-8111.9924600000031</v>
      </c>
    </row>
    <row r="155" spans="1:14" x14ac:dyDescent="0.3">
      <c r="A155" s="44" t="s">
        <v>129</v>
      </c>
      <c r="B155" s="45" t="str">
        <f t="shared" ref="B155:N155" si="116">+IFERROR(B154/A154-1,"nm")</f>
        <v>nm</v>
      </c>
      <c r="C155" s="45">
        <f t="shared" si="116"/>
        <v>0.145125716806352</v>
      </c>
      <c r="D155" s="45">
        <f t="shared" si="116"/>
        <v>3.1201848998459125E-2</v>
      </c>
      <c r="E155" s="45">
        <f t="shared" si="116"/>
        <v>-7.097497198356395E-3</v>
      </c>
      <c r="F155" s="45">
        <f t="shared" si="116"/>
        <v>0.22723852520692245</v>
      </c>
      <c r="G155" s="45">
        <f t="shared" si="116"/>
        <v>6.3151440833844275E-2</v>
      </c>
      <c r="H155" s="45">
        <f t="shared" si="116"/>
        <v>5.4209919261822392E-2</v>
      </c>
      <c r="I155" s="45">
        <f t="shared" si="116"/>
        <v>0.16575492341356668</v>
      </c>
      <c r="J155" s="70">
        <f t="shared" si="116"/>
        <v>0.29999999999999982</v>
      </c>
      <c r="K155" s="70">
        <f t="shared" si="116"/>
        <v>0.10000000000000031</v>
      </c>
      <c r="L155" s="70">
        <f t="shared" si="116"/>
        <v>0.10000000000000009</v>
      </c>
      <c r="M155" s="70">
        <f t="shared" si="116"/>
        <v>0.10000000000000009</v>
      </c>
      <c r="N155" s="70">
        <f t="shared" si="116"/>
        <v>0.10000000000000009</v>
      </c>
    </row>
    <row r="156" spans="1:14" x14ac:dyDescent="0.3">
      <c r="A156" s="44" t="s">
        <v>131</v>
      </c>
      <c r="B156" s="45">
        <f t="shared" ref="B156:I156" si="117">+IFERROR(B154/B$145,"nm")</f>
        <v>-19.713043478260868</v>
      </c>
      <c r="C156" s="45">
        <f t="shared" si="117"/>
        <v>-35.561643835616437</v>
      </c>
      <c r="D156" s="45">
        <f t="shared" si="117"/>
        <v>-36.671232876712331</v>
      </c>
      <c r="E156" s="45">
        <f t="shared" si="117"/>
        <v>-30.204545454545453</v>
      </c>
      <c r="F156" s="45">
        <f t="shared" si="117"/>
        <v>-77.666666666666671</v>
      </c>
      <c r="G156" s="45">
        <f t="shared" si="117"/>
        <v>-115.6</v>
      </c>
      <c r="H156" s="45">
        <f t="shared" si="117"/>
        <v>-146.24</v>
      </c>
      <c r="I156" s="45">
        <f t="shared" si="117"/>
        <v>-41.784313725490193</v>
      </c>
      <c r="J156" s="70">
        <f>+IFERROR(J154/J$21,"nm")</f>
        <v>-0.28976457347508289</v>
      </c>
      <c r="K156" s="70">
        <f>+IFERROR(K154/K$21,"nm")</f>
        <v>-0.30566320649653855</v>
      </c>
      <c r="L156" s="70">
        <f>+IFERROR(L154/L$21,"nm")</f>
        <v>-0.32210676146956096</v>
      </c>
      <c r="M156" s="70">
        <f>+IFERROR(M154/M$21,"nm")</f>
        <v>-0.33904567084275211</v>
      </c>
      <c r="N156" s="70">
        <f>+IFERROR(N154/N$21,"nm")</f>
        <v>-0.35641367538267271</v>
      </c>
    </row>
    <row r="157" spans="1:14" x14ac:dyDescent="0.3">
      <c r="A157" s="9" t="s">
        <v>135</v>
      </c>
      <c r="B157" s="9">
        <f>+'Historicals (2)'!B164</f>
        <v>225</v>
      </c>
      <c r="C157" s="9">
        <f>+'Historicals (2)'!C164</f>
        <v>258</v>
      </c>
      <c r="D157" s="9">
        <f>+'Historicals (2)'!D164</f>
        <v>278</v>
      </c>
      <c r="E157" s="9">
        <f>+'Historicals (2)'!E164</f>
        <v>286</v>
      </c>
      <c r="F157" s="9">
        <f>+'Historicals (2)'!F164</f>
        <v>278</v>
      </c>
      <c r="G157" s="9">
        <f>+'Historicals (2)'!G164</f>
        <v>438</v>
      </c>
      <c r="H157" s="9">
        <f>+'Historicals (2)'!H164</f>
        <v>278</v>
      </c>
      <c r="I157" s="9">
        <f>+'Historicals (2)'!I164</f>
        <v>222</v>
      </c>
      <c r="J157" s="58">
        <f>+J145*J159</f>
        <v>288.59999999999997</v>
      </c>
      <c r="K157" s="58">
        <f>+K145*K159</f>
        <v>317.45999999999998</v>
      </c>
      <c r="L157" s="58">
        <f>+L145*L159</f>
        <v>349.20600000000002</v>
      </c>
      <c r="M157" s="58">
        <f>+M145*M159</f>
        <v>384.12660000000011</v>
      </c>
      <c r="N157" s="58">
        <f>+N145*N159</f>
        <v>422.53926000000013</v>
      </c>
    </row>
    <row r="158" spans="1:14" x14ac:dyDescent="0.3">
      <c r="A158" s="44" t="s">
        <v>129</v>
      </c>
      <c r="B158" s="45" t="str">
        <f t="shared" ref="B158:I158" si="118">+IFERROR(B157/A157-1,"nm")</f>
        <v>nm</v>
      </c>
      <c r="C158" s="45">
        <f t="shared" si="118"/>
        <v>0.14666666666666672</v>
      </c>
      <c r="D158" s="45">
        <f t="shared" si="118"/>
        <v>7.7519379844961156E-2</v>
      </c>
      <c r="E158" s="45">
        <f t="shared" si="118"/>
        <v>2.877697841726623E-2</v>
      </c>
      <c r="F158" s="45">
        <f t="shared" si="118"/>
        <v>-2.7972027972028024E-2</v>
      </c>
      <c r="G158" s="45">
        <f t="shared" si="118"/>
        <v>0.57553956834532372</v>
      </c>
      <c r="H158" s="45">
        <f t="shared" si="118"/>
        <v>-0.36529680365296802</v>
      </c>
      <c r="I158" s="45">
        <f t="shared" si="118"/>
        <v>-0.20143884892086328</v>
      </c>
      <c r="J158" s="70">
        <v>0</v>
      </c>
      <c r="K158" s="70">
        <f>+IFERROR(K157/J157-1,"nm")</f>
        <v>0.10000000000000009</v>
      </c>
      <c r="L158" s="70">
        <f>+IFERROR(L157/K157-1,"nm")</f>
        <v>0.10000000000000009</v>
      </c>
      <c r="M158" s="70">
        <f>+IFERROR(M157/L157-1,"nm")</f>
        <v>0.10000000000000031</v>
      </c>
      <c r="N158" s="70">
        <f>+IFERROR(N157/M157-1,"nm")</f>
        <v>0.10000000000000009</v>
      </c>
    </row>
    <row r="159" spans="1:14" x14ac:dyDescent="0.3">
      <c r="A159" s="44" t="s">
        <v>133</v>
      </c>
      <c r="B159" s="45">
        <f t="shared" ref="B159:I159" si="119">+IFERROR(B157/B$145,"nm")</f>
        <v>1.9565217391304348</v>
      </c>
      <c r="C159" s="45">
        <f t="shared" si="119"/>
        <v>3.5342465753424657</v>
      </c>
      <c r="D159" s="45">
        <f t="shared" si="119"/>
        <v>3.8082191780821919</v>
      </c>
      <c r="E159" s="45">
        <f t="shared" si="119"/>
        <v>3.25</v>
      </c>
      <c r="F159" s="45">
        <f t="shared" si="119"/>
        <v>6.6190476190476186</v>
      </c>
      <c r="G159" s="45">
        <f t="shared" si="119"/>
        <v>14.6</v>
      </c>
      <c r="H159" s="45">
        <f t="shared" si="119"/>
        <v>11.12</v>
      </c>
      <c r="I159" s="45">
        <f t="shared" si="119"/>
        <v>2.1764705882352939</v>
      </c>
      <c r="J159" s="70">
        <f>+I159</f>
        <v>2.1764705882352939</v>
      </c>
      <c r="K159" s="70">
        <f>+J159</f>
        <v>2.1764705882352939</v>
      </c>
      <c r="L159" s="70">
        <f>+K159</f>
        <v>2.1764705882352939</v>
      </c>
      <c r="M159" s="70">
        <f>+L159</f>
        <v>2.1764705882352939</v>
      </c>
      <c r="N159" s="70">
        <f>+M159</f>
        <v>2.1764705882352939</v>
      </c>
    </row>
    <row r="160" spans="1:14" x14ac:dyDescent="0.3">
      <c r="A160" s="9" t="s">
        <v>141</v>
      </c>
      <c r="B160" s="9">
        <f>+'Historicals (2)'!B153</f>
        <v>484</v>
      </c>
      <c r="C160" s="9">
        <f>+'Historicals (2)'!C153</f>
        <v>511</v>
      </c>
      <c r="D160" s="9">
        <f>+'Historicals (2)'!D153</f>
        <v>533</v>
      </c>
      <c r="E160" s="9">
        <f>+'Historicals (2)'!E153</f>
        <v>597</v>
      </c>
      <c r="F160" s="9">
        <f>+'Historicals (2)'!F153</f>
        <v>665</v>
      </c>
      <c r="G160" s="9">
        <f>+'Historicals (2)'!G153</f>
        <v>830</v>
      </c>
      <c r="H160" s="77">
        <f>+'Historicals (2)'!H153</f>
        <v>780</v>
      </c>
      <c r="I160" s="77">
        <f>+'Historicals (2)'!I153</f>
        <v>789</v>
      </c>
      <c r="J160" s="58">
        <f>+J145*J162</f>
        <v>1025.7</v>
      </c>
      <c r="K160" s="58">
        <f>+K145*K162</f>
        <v>1128.2700000000002</v>
      </c>
      <c r="L160" s="58">
        <f>+L145*L162</f>
        <v>1241.0970000000002</v>
      </c>
      <c r="M160" s="58">
        <f>+M145*M162</f>
        <v>1365.2067000000004</v>
      </c>
      <c r="N160" s="58">
        <f>+N145*N162</f>
        <v>1501.7273700000005</v>
      </c>
    </row>
    <row r="161" spans="1:14" x14ac:dyDescent="0.3">
      <c r="A161" s="44" t="s">
        <v>129</v>
      </c>
      <c r="B161" s="45" t="str">
        <f t="shared" ref="B161:I161" si="120">+IFERROR(B160/A160-1,"nm")</f>
        <v>nm</v>
      </c>
      <c r="C161" s="45">
        <f t="shared" si="120"/>
        <v>5.5785123966942241E-2</v>
      </c>
      <c r="D161" s="45">
        <f t="shared" si="120"/>
        <v>4.3052837573385627E-2</v>
      </c>
      <c r="E161" s="45">
        <f t="shared" si="120"/>
        <v>0.12007504690431525</v>
      </c>
      <c r="F161" s="45">
        <f t="shared" si="120"/>
        <v>0.11390284757118918</v>
      </c>
      <c r="G161" s="45">
        <f t="shared" si="120"/>
        <v>0.24812030075187974</v>
      </c>
      <c r="H161" s="74">
        <f t="shared" si="120"/>
        <v>-6.0240963855421659E-2</v>
      </c>
      <c r="I161" s="74">
        <f t="shared" si="120"/>
        <v>1.1538461538461497E-2</v>
      </c>
      <c r="J161" s="70">
        <f>+J162+J163</f>
        <v>7.7352941176470589</v>
      </c>
      <c r="K161" s="70">
        <f>+K162+K163</f>
        <v>7.7352941176470589</v>
      </c>
      <c r="L161" s="70">
        <f>+L162+L163</f>
        <v>7.7352941176470589</v>
      </c>
      <c r="M161" s="70">
        <f>+M162+M163</f>
        <v>7.7352941176470589</v>
      </c>
      <c r="N161" s="70">
        <f>+N162+N163</f>
        <v>7.7352941176470589</v>
      </c>
    </row>
    <row r="162" spans="1:14" x14ac:dyDescent="0.3">
      <c r="A162" s="44" t="s">
        <v>133</v>
      </c>
      <c r="B162" s="45">
        <f t="shared" ref="B162:I162" si="121">+IFERROR(B160/B$145,"nm")</f>
        <v>4.2086956521739127</v>
      </c>
      <c r="C162" s="45">
        <f t="shared" si="121"/>
        <v>7</v>
      </c>
      <c r="D162" s="45">
        <f t="shared" si="121"/>
        <v>7.3013698630136989</v>
      </c>
      <c r="E162" s="45">
        <f t="shared" si="121"/>
        <v>6.7840909090909092</v>
      </c>
      <c r="F162" s="45">
        <f t="shared" si="121"/>
        <v>15.833333333333334</v>
      </c>
      <c r="G162" s="45">
        <f t="shared" si="121"/>
        <v>27.666666666666668</v>
      </c>
      <c r="H162" s="74">
        <f t="shared" si="121"/>
        <v>31.2</v>
      </c>
      <c r="I162" s="74">
        <f t="shared" si="121"/>
        <v>7.7352941176470589</v>
      </c>
      <c r="J162" s="70">
        <f>+I162</f>
        <v>7.7352941176470589</v>
      </c>
      <c r="K162" s="70">
        <f>+J162</f>
        <v>7.7352941176470589</v>
      </c>
      <c r="L162" s="70">
        <f>+K162</f>
        <v>7.7352941176470589</v>
      </c>
      <c r="M162" s="70">
        <f>+L162</f>
        <v>7.7352941176470589</v>
      </c>
      <c r="N162" s="70">
        <f>+M162</f>
        <v>7.7352941176470589</v>
      </c>
    </row>
    <row r="163" spans="1:14" x14ac:dyDescent="0.3">
      <c r="A163" s="78" t="s">
        <v>104</v>
      </c>
    </row>
    <row r="164" spans="1:14" x14ac:dyDescent="0.3">
      <c r="A164" s="9" t="s">
        <v>136</v>
      </c>
      <c r="B164" s="9">
        <f>B166+B170+B174+B178</f>
        <v>28743</v>
      </c>
      <c r="C164" s="9">
        <f>C166+C170+C174+C178</f>
        <v>30434</v>
      </c>
      <c r="D164" s="9">
        <f>D166+D170+D174+D178</f>
        <v>32160</v>
      </c>
      <c r="E164" s="9">
        <f>E166+E170+E174+E178</f>
        <v>34500</v>
      </c>
      <c r="F164" s="9">
        <f>F166+F170+F174+F178</f>
        <v>37282</v>
      </c>
      <c r="G164" s="9">
        <f>G166+G170+G174+G178+G182</f>
        <v>35950</v>
      </c>
      <c r="H164" s="9">
        <f>H166+H170+H174+H178</f>
        <v>2205</v>
      </c>
      <c r="I164" s="9">
        <f>I166+I170+I174+I178</f>
        <v>2346</v>
      </c>
      <c r="J164" s="58">
        <f>+SUM(J166+J170+J174+J178)</f>
        <v>2623.65</v>
      </c>
      <c r="K164" s="58">
        <f>+SUM(K166+K170+K174+K178)</f>
        <v>2886.0150000000003</v>
      </c>
      <c r="L164" s="58">
        <f>+SUM(L166+L170+L174+L178)</f>
        <v>3174.6165000000005</v>
      </c>
      <c r="M164" s="58">
        <f>+SUM(M166+M170+M174+M178)</f>
        <v>3492.0781500000012</v>
      </c>
      <c r="N164" s="58">
        <f>+SUM(N166+N170+N174+N178)</f>
        <v>3841.2859650000009</v>
      </c>
    </row>
    <row r="165" spans="1:14" x14ac:dyDescent="0.3">
      <c r="A165" s="42" t="s">
        <v>129</v>
      </c>
      <c r="B165" s="45" t="str">
        <f>+IFERROR(B145/A145-1,"nm")</f>
        <v>nm</v>
      </c>
      <c r="C165" s="45">
        <f t="shared" ref="C165:N165" si="122">+IFERROR(C164/B164-1,"nm")</f>
        <v>5.883171554813349E-2</v>
      </c>
      <c r="D165" s="45">
        <f t="shared" si="122"/>
        <v>5.6712886902806181E-2</v>
      </c>
      <c r="E165" s="45">
        <f t="shared" si="122"/>
        <v>7.2761194029850706E-2</v>
      </c>
      <c r="F165" s="45">
        <f t="shared" si="122"/>
        <v>8.0637681159420271E-2</v>
      </c>
      <c r="G165" s="45">
        <f t="shared" si="122"/>
        <v>-3.5727697011962878E-2</v>
      </c>
      <c r="H165" s="45">
        <f t="shared" si="122"/>
        <v>-0.93866481223922116</v>
      </c>
      <c r="I165" s="45">
        <f t="shared" si="122"/>
        <v>6.3945578231292544E-2</v>
      </c>
      <c r="J165" s="70">
        <f t="shared" si="122"/>
        <v>0.11835038363171368</v>
      </c>
      <c r="K165" s="70">
        <f t="shared" si="122"/>
        <v>0.10000000000000009</v>
      </c>
      <c r="L165" s="70">
        <f t="shared" si="122"/>
        <v>0.10000000000000009</v>
      </c>
      <c r="M165" s="70">
        <f t="shared" si="122"/>
        <v>0.10000000000000009</v>
      </c>
      <c r="N165" s="70">
        <f t="shared" si="122"/>
        <v>9.9999999999999867E-2</v>
      </c>
    </row>
    <row r="166" spans="1:14" x14ac:dyDescent="0.3">
      <c r="A166" s="43" t="s">
        <v>113</v>
      </c>
      <c r="B166" s="3">
        <f>+'Historicals (2)'!B130</f>
        <v>18318</v>
      </c>
      <c r="C166" s="3">
        <f>+'Historicals (2)'!C130</f>
        <v>19871</v>
      </c>
      <c r="D166" s="3">
        <f>+'Historicals (2)'!D130</f>
        <v>21081</v>
      </c>
      <c r="E166" s="3">
        <f>+'Historicals (2)'!E130</f>
        <v>22268</v>
      </c>
      <c r="F166" s="3">
        <f>+'Historicals (2)'!F130</f>
        <v>24222</v>
      </c>
      <c r="G166" s="3">
        <f>+'Historicals (2)'!G130</f>
        <v>23305</v>
      </c>
      <c r="H166" s="3">
        <f>+'Historicals (2)'!H130</f>
        <v>1986</v>
      </c>
      <c r="I166" s="3">
        <f>+'Historicals (2)'!I130</f>
        <v>2094</v>
      </c>
      <c r="J166" s="58">
        <f>+I166*(1+J167)</f>
        <v>2303.4</v>
      </c>
      <c r="K166" s="58">
        <f>+J166*(1+K167)</f>
        <v>2533.7400000000002</v>
      </c>
      <c r="L166" s="58">
        <f>+K166*(1+L167)</f>
        <v>2787.1140000000005</v>
      </c>
      <c r="M166" s="58">
        <f>+L166*(1+M167)</f>
        <v>3065.8254000000006</v>
      </c>
      <c r="N166" s="58">
        <f>+M166*(1+N167)</f>
        <v>3372.407940000001</v>
      </c>
    </row>
    <row r="167" spans="1:14" x14ac:dyDescent="0.3">
      <c r="A167" s="42" t="s">
        <v>129</v>
      </c>
      <c r="B167" s="45" t="str">
        <f t="shared" ref="B167:I167" si="123">+IFERROR(B166/A166-1,"nm")</f>
        <v>nm</v>
      </c>
      <c r="C167" s="45">
        <f t="shared" si="123"/>
        <v>8.4779997816355479E-2</v>
      </c>
      <c r="D167" s="45">
        <f t="shared" si="123"/>
        <v>6.0892758290976845E-2</v>
      </c>
      <c r="E167" s="45">
        <f t="shared" si="123"/>
        <v>5.6306626820359584E-2</v>
      </c>
      <c r="F167" s="45">
        <f t="shared" si="123"/>
        <v>8.7749236572660427E-2</v>
      </c>
      <c r="G167" s="45">
        <f t="shared" si="123"/>
        <v>-3.7858145487573269E-2</v>
      </c>
      <c r="H167" s="45">
        <f t="shared" si="123"/>
        <v>-0.91478223557176574</v>
      </c>
      <c r="I167" s="45">
        <f t="shared" si="123"/>
        <v>5.4380664652567967E-2</v>
      </c>
      <c r="J167" s="70">
        <f>+J168+J169</f>
        <v>0.1</v>
      </c>
      <c r="K167" s="70">
        <f>+K168+K169</f>
        <v>0.1</v>
      </c>
      <c r="L167" s="70">
        <f>+L168+L169</f>
        <v>0.1</v>
      </c>
      <c r="M167" s="70">
        <f>+M168+M169</f>
        <v>0.1</v>
      </c>
      <c r="N167" s="70">
        <f>+N168+N169</f>
        <v>0.1</v>
      </c>
    </row>
    <row r="168" spans="1:14" x14ac:dyDescent="0.3">
      <c r="A168" s="42" t="s">
        <v>137</v>
      </c>
      <c r="B168" s="45">
        <f>+'Historicals (2)'!B307</f>
        <v>0</v>
      </c>
      <c r="C168" s="45">
        <f>+'Historicals (2)'!C307</f>
        <v>0</v>
      </c>
      <c r="D168" s="45">
        <f>+'Historicals (2)'!D307</f>
        <v>0</v>
      </c>
      <c r="E168" s="45">
        <f>+'Historicals (2)'!E307</f>
        <v>0</v>
      </c>
      <c r="F168" s="45">
        <f>+'Historicals (2)'!F307</f>
        <v>0</v>
      </c>
      <c r="G168" s="45">
        <f>+'Historicals (2)'!G307</f>
        <v>0</v>
      </c>
      <c r="H168" s="45">
        <f>+'Historicals (2)'!H307</f>
        <v>0</v>
      </c>
      <c r="I168" s="45">
        <f>+'Historicals (2)'!I307</f>
        <v>0</v>
      </c>
      <c r="J168" s="70">
        <v>0.1</v>
      </c>
      <c r="K168" s="70">
        <f t="shared" ref="K168:N169" si="124">+J168</f>
        <v>0.1</v>
      </c>
      <c r="L168" s="70">
        <f t="shared" si="124"/>
        <v>0.1</v>
      </c>
      <c r="M168" s="70">
        <f t="shared" si="124"/>
        <v>0.1</v>
      </c>
      <c r="N168" s="70">
        <f t="shared" si="124"/>
        <v>0.1</v>
      </c>
    </row>
    <row r="169" spans="1:14" x14ac:dyDescent="0.3">
      <c r="A169" s="42" t="s">
        <v>138</v>
      </c>
      <c r="B169" s="45" t="str">
        <f t="shared" ref="B169:I169" si="125">+IFERROR(B167-B168,"nm")</f>
        <v>nm</v>
      </c>
      <c r="C169" s="45">
        <f t="shared" si="125"/>
        <v>8.4779997816355479E-2</v>
      </c>
      <c r="D169" s="45">
        <f t="shared" si="125"/>
        <v>6.0892758290976845E-2</v>
      </c>
      <c r="E169" s="45">
        <f t="shared" si="125"/>
        <v>5.6306626820359584E-2</v>
      </c>
      <c r="F169" s="45">
        <f t="shared" si="125"/>
        <v>8.7749236572660427E-2</v>
      </c>
      <c r="G169" s="45">
        <f t="shared" si="125"/>
        <v>-3.7858145487573269E-2</v>
      </c>
      <c r="H169" s="45">
        <f t="shared" si="125"/>
        <v>-0.91478223557176574</v>
      </c>
      <c r="I169" s="45">
        <f t="shared" si="125"/>
        <v>5.4380664652567967E-2</v>
      </c>
      <c r="J169" s="70">
        <v>0</v>
      </c>
      <c r="K169" s="70">
        <f t="shared" si="124"/>
        <v>0</v>
      </c>
      <c r="L169" s="70">
        <f t="shared" si="124"/>
        <v>0</v>
      </c>
      <c r="M169" s="70">
        <f t="shared" si="124"/>
        <v>0</v>
      </c>
      <c r="N169" s="70">
        <f t="shared" si="124"/>
        <v>0</v>
      </c>
    </row>
    <row r="170" spans="1:14" x14ac:dyDescent="0.3">
      <c r="A170" s="43" t="s">
        <v>114</v>
      </c>
      <c r="B170" s="3">
        <f>+'Historicals (2)'!B131</f>
        <v>8637</v>
      </c>
      <c r="C170" s="3">
        <f>+'Historicals (2)'!C131</f>
        <v>9067</v>
      </c>
      <c r="D170" s="3">
        <f>+'Historicals (2)'!D131</f>
        <v>9654</v>
      </c>
      <c r="E170" s="3">
        <f>+'Historicals (2)'!E131</f>
        <v>10733</v>
      </c>
      <c r="F170" s="3">
        <f>+'Historicals (2)'!F131</f>
        <v>11550</v>
      </c>
      <c r="G170" s="3">
        <f>+'Historicals (2)'!G131</f>
        <v>10953</v>
      </c>
      <c r="H170" s="3">
        <f>+'Historicals (2)'!H131</f>
        <v>104</v>
      </c>
      <c r="I170" s="3">
        <f>+'Historicals (2)'!I131</f>
        <v>103</v>
      </c>
      <c r="J170" s="58">
        <f>+I170*(1+J171)</f>
        <v>113.30000000000001</v>
      </c>
      <c r="K170" s="58">
        <f>+J170*(1+K171)</f>
        <v>124.63000000000002</v>
      </c>
      <c r="L170" s="58">
        <f>+K170*(1+L171)</f>
        <v>137.09300000000005</v>
      </c>
      <c r="M170" s="58">
        <f>+L170*(1+M171)</f>
        <v>150.80230000000006</v>
      </c>
      <c r="N170" s="58">
        <f>+M170*(1+N171)</f>
        <v>165.88253000000009</v>
      </c>
    </row>
    <row r="171" spans="1:14" x14ac:dyDescent="0.3">
      <c r="A171" s="42" t="s">
        <v>129</v>
      </c>
      <c r="B171" s="45" t="str">
        <f t="shared" ref="B171:I171" si="126">+IFERROR(B170/A170-1,"nm")</f>
        <v>nm</v>
      </c>
      <c r="C171" s="45">
        <f t="shared" si="126"/>
        <v>4.9785805256454818E-2</v>
      </c>
      <c r="D171" s="45">
        <f t="shared" si="126"/>
        <v>6.4740266901952115E-2</v>
      </c>
      <c r="E171" s="45">
        <f t="shared" si="126"/>
        <v>0.1117671431530971</v>
      </c>
      <c r="F171" s="45">
        <f t="shared" si="126"/>
        <v>7.6120376409205326E-2</v>
      </c>
      <c r="G171" s="45">
        <f t="shared" si="126"/>
        <v>-5.1688311688311672E-2</v>
      </c>
      <c r="H171" s="45">
        <f t="shared" si="126"/>
        <v>-0.99050488450652785</v>
      </c>
      <c r="I171" s="45">
        <f t="shared" si="126"/>
        <v>-9.6153846153845812E-3</v>
      </c>
      <c r="J171" s="70">
        <f>+J172+J173</f>
        <v>0.1</v>
      </c>
      <c r="K171" s="70">
        <f>+K172+K173</f>
        <v>0.1</v>
      </c>
      <c r="L171" s="70">
        <f>+L172+L173</f>
        <v>0.1</v>
      </c>
      <c r="M171" s="70">
        <f>+M172+M173</f>
        <v>0.1</v>
      </c>
      <c r="N171" s="70">
        <f>+N172+N173</f>
        <v>0.1</v>
      </c>
    </row>
    <row r="172" spans="1:14" x14ac:dyDescent="0.3">
      <c r="A172" s="42" t="s">
        <v>137</v>
      </c>
      <c r="B172" s="45">
        <f>+'Historicals (2)'!B311</f>
        <v>0</v>
      </c>
      <c r="C172" s="45">
        <f>+'Historicals (2)'!C311</f>
        <v>0</v>
      </c>
      <c r="D172" s="45">
        <f>+'Historicals (2)'!D311</f>
        <v>0</v>
      </c>
      <c r="E172" s="45">
        <f>+'Historicals (2)'!E311</f>
        <v>0</v>
      </c>
      <c r="F172" s="45">
        <f>+'Historicals (2)'!F311</f>
        <v>0</v>
      </c>
      <c r="G172" s="45">
        <f>+'Historicals (2)'!G311</f>
        <v>0</v>
      </c>
      <c r="H172" s="45">
        <f>+'Historicals (2)'!H311</f>
        <v>0</v>
      </c>
      <c r="I172" s="45">
        <f>+'Historicals (2)'!I311</f>
        <v>0</v>
      </c>
      <c r="J172" s="70">
        <v>0.1</v>
      </c>
      <c r="K172" s="70">
        <f t="shared" ref="K172:N173" si="127">+J172</f>
        <v>0.1</v>
      </c>
      <c r="L172" s="70">
        <f t="shared" si="127"/>
        <v>0.1</v>
      </c>
      <c r="M172" s="70">
        <f t="shared" si="127"/>
        <v>0.1</v>
      </c>
      <c r="N172" s="70">
        <f t="shared" si="127"/>
        <v>0.1</v>
      </c>
    </row>
    <row r="173" spans="1:14" x14ac:dyDescent="0.3">
      <c r="A173" s="42" t="s">
        <v>138</v>
      </c>
      <c r="B173" s="45" t="str">
        <f t="shared" ref="B173:I173" si="128">+IFERROR(B171-B172,"nm")</f>
        <v>nm</v>
      </c>
      <c r="C173" s="45">
        <f t="shared" si="128"/>
        <v>4.9785805256454818E-2</v>
      </c>
      <c r="D173" s="45">
        <f t="shared" si="128"/>
        <v>6.4740266901952115E-2</v>
      </c>
      <c r="E173" s="45">
        <f t="shared" si="128"/>
        <v>0.1117671431530971</v>
      </c>
      <c r="F173" s="45">
        <f t="shared" si="128"/>
        <v>7.6120376409205326E-2</v>
      </c>
      <c r="G173" s="45">
        <f t="shared" si="128"/>
        <v>-5.1688311688311672E-2</v>
      </c>
      <c r="H173" s="45">
        <f t="shared" si="128"/>
        <v>-0.99050488450652785</v>
      </c>
      <c r="I173" s="45">
        <f t="shared" si="128"/>
        <v>-9.6153846153845812E-3</v>
      </c>
      <c r="J173" s="70">
        <v>0</v>
      </c>
      <c r="K173" s="70">
        <f t="shared" si="127"/>
        <v>0</v>
      </c>
      <c r="L173" s="70">
        <f t="shared" si="127"/>
        <v>0</v>
      </c>
      <c r="M173" s="70">
        <f t="shared" si="127"/>
        <v>0</v>
      </c>
      <c r="N173" s="70">
        <f t="shared" si="127"/>
        <v>0</v>
      </c>
    </row>
    <row r="174" spans="1:14" x14ac:dyDescent="0.3">
      <c r="A174" s="43" t="s">
        <v>115</v>
      </c>
      <c r="B174" s="3">
        <f>+'Historicals (2)'!B132</f>
        <v>1788</v>
      </c>
      <c r="C174" s="3">
        <f>+'Historicals (2)'!C132</f>
        <v>1496</v>
      </c>
      <c r="D174" s="3">
        <f>+'Historicals (2)'!D132</f>
        <v>1425</v>
      </c>
      <c r="E174" s="3">
        <f>+'Historicals (2)'!E132</f>
        <v>1396</v>
      </c>
      <c r="F174" s="3">
        <f>+'Historicals (2)'!F132</f>
        <v>1404</v>
      </c>
      <c r="G174" s="3">
        <f>+'Historicals (2)'!G132</f>
        <v>1280</v>
      </c>
      <c r="H174" s="3">
        <f>+'Historicals (2)'!H132</f>
        <v>29</v>
      </c>
      <c r="I174" s="3">
        <f>+'Historicals (2)'!I132</f>
        <v>26</v>
      </c>
      <c r="J174" s="58">
        <f>+I174*(1+J175)</f>
        <v>28.6</v>
      </c>
      <c r="K174" s="58">
        <f>+J174*(1+K175)</f>
        <v>31.460000000000004</v>
      </c>
      <c r="L174" s="58">
        <f>+K174*(1+L175)</f>
        <v>34.606000000000009</v>
      </c>
      <c r="M174" s="58">
        <f>+L174*(1+M175)</f>
        <v>38.066600000000015</v>
      </c>
      <c r="N174" s="58">
        <f>+M174*(1+N175)</f>
        <v>41.873260000000023</v>
      </c>
    </row>
    <row r="175" spans="1:14" x14ac:dyDescent="0.3">
      <c r="A175" s="42" t="s">
        <v>129</v>
      </c>
      <c r="B175" s="45" t="str">
        <f>+IFERROR(B178/A178-1,"nm")</f>
        <v>nm</v>
      </c>
      <c r="C175" s="45">
        <f t="shared" ref="C175:I175" si="129">+IFERROR(C174/B174-1,"nm")</f>
        <v>-0.16331096196868011</v>
      </c>
      <c r="D175" s="45">
        <f t="shared" si="129"/>
        <v>-4.7459893048128365E-2</v>
      </c>
      <c r="E175" s="45">
        <f t="shared" si="129"/>
        <v>-2.0350877192982453E-2</v>
      </c>
      <c r="F175" s="45">
        <f t="shared" si="129"/>
        <v>5.7306590257879542E-3</v>
      </c>
      <c r="G175" s="45">
        <f t="shared" si="129"/>
        <v>-8.8319088319088301E-2</v>
      </c>
      <c r="H175" s="45">
        <f t="shared" si="129"/>
        <v>-0.97734374999999996</v>
      </c>
      <c r="I175" s="45">
        <f t="shared" si="129"/>
        <v>-0.10344827586206895</v>
      </c>
      <c r="J175" s="70">
        <f>+J176+J177</f>
        <v>0.1</v>
      </c>
      <c r="K175" s="70">
        <f>+K176+K177</f>
        <v>0.1</v>
      </c>
      <c r="L175" s="70">
        <f>+L176+L177</f>
        <v>0.1</v>
      </c>
      <c r="M175" s="70">
        <f>+M176+M177</f>
        <v>0.1</v>
      </c>
      <c r="N175" s="70">
        <f>+N176+N177</f>
        <v>0.1</v>
      </c>
    </row>
    <row r="176" spans="1:14" x14ac:dyDescent="0.3">
      <c r="A176" s="42" t="s">
        <v>137</v>
      </c>
      <c r="B176" s="45">
        <f>+'Historicals (2)'!B309</f>
        <v>0</v>
      </c>
      <c r="C176" s="45">
        <f>+'Historicals (2)'!C309</f>
        <v>0</v>
      </c>
      <c r="D176" s="45">
        <f>+'Historicals (2)'!D309</f>
        <v>0</v>
      </c>
      <c r="E176" s="45">
        <f>+'Historicals (2)'!E309</f>
        <v>0</v>
      </c>
      <c r="F176" s="45">
        <f>+'Historicals (2)'!F309</f>
        <v>0</v>
      </c>
      <c r="G176" s="45">
        <f>+'Historicals (2)'!G309</f>
        <v>0</v>
      </c>
      <c r="H176" s="45">
        <f>+'Historicals (2)'!H309</f>
        <v>0</v>
      </c>
      <c r="I176" s="45">
        <f>+'Historicals (2)'!I309</f>
        <v>0</v>
      </c>
      <c r="J176" s="70">
        <v>0.1</v>
      </c>
      <c r="K176" s="70">
        <f t="shared" ref="K176:N177" si="130">+J176</f>
        <v>0.1</v>
      </c>
      <c r="L176" s="70">
        <f t="shared" si="130"/>
        <v>0.1</v>
      </c>
      <c r="M176" s="70">
        <f t="shared" si="130"/>
        <v>0.1</v>
      </c>
      <c r="N176" s="70">
        <f t="shared" si="130"/>
        <v>0.1</v>
      </c>
    </row>
    <row r="177" spans="1:14" x14ac:dyDescent="0.3">
      <c r="A177" s="42" t="s">
        <v>138</v>
      </c>
      <c r="B177" s="45" t="str">
        <f t="shared" ref="B177:I177" si="131">+IFERROR(B175-B176,"nm")</f>
        <v>nm</v>
      </c>
      <c r="C177" s="45">
        <f t="shared" si="131"/>
        <v>-0.16331096196868011</v>
      </c>
      <c r="D177" s="45">
        <f t="shared" si="131"/>
        <v>-4.7459893048128365E-2</v>
      </c>
      <c r="E177" s="45">
        <f t="shared" si="131"/>
        <v>-2.0350877192982453E-2</v>
      </c>
      <c r="F177" s="45">
        <f t="shared" si="131"/>
        <v>5.7306590257879542E-3</v>
      </c>
      <c r="G177" s="45">
        <f t="shared" si="131"/>
        <v>-8.8319088319088301E-2</v>
      </c>
      <c r="H177" s="45">
        <f t="shared" si="131"/>
        <v>-0.97734374999999996</v>
      </c>
      <c r="I177" s="45">
        <f t="shared" si="131"/>
        <v>-0.10344827586206895</v>
      </c>
      <c r="J177" s="70">
        <v>0</v>
      </c>
      <c r="K177" s="70">
        <f t="shared" si="130"/>
        <v>0</v>
      </c>
      <c r="L177" s="70">
        <f t="shared" si="130"/>
        <v>0</v>
      </c>
      <c r="M177" s="70">
        <f t="shared" si="130"/>
        <v>0</v>
      </c>
      <c r="N177" s="70">
        <f t="shared" si="130"/>
        <v>0</v>
      </c>
    </row>
    <row r="178" spans="1:14" x14ac:dyDescent="0.3">
      <c r="A178" s="75" t="s">
        <v>121</v>
      </c>
      <c r="B178" s="65">
        <f>+'Historicals (2)'!B133</f>
        <v>0</v>
      </c>
      <c r="C178" s="65">
        <f>+'Historicals (2)'!C133</f>
        <v>0</v>
      </c>
      <c r="D178" s="65">
        <f>+'Historicals (2)'!D133</f>
        <v>0</v>
      </c>
      <c r="E178" s="65">
        <f>+'Historicals (2)'!E133</f>
        <v>103</v>
      </c>
      <c r="F178" s="65">
        <f>+'Historicals (2)'!F133</f>
        <v>106</v>
      </c>
      <c r="G178" s="65">
        <f>+'Historicals (2)'!G133</f>
        <v>90</v>
      </c>
      <c r="H178" s="65">
        <f>+'Historicals (2)'!H133</f>
        <v>86</v>
      </c>
      <c r="I178" s="65">
        <f>+'Historicals (2)'!I133</f>
        <v>123</v>
      </c>
      <c r="J178" s="58">
        <f>+I178*(1+J179)</f>
        <v>178.35</v>
      </c>
      <c r="K178" s="58">
        <f>+J178*(1+K179)</f>
        <v>196.185</v>
      </c>
      <c r="L178" s="58">
        <f>+K178*(1+L179)</f>
        <v>215.80350000000001</v>
      </c>
      <c r="M178" s="58">
        <f>+L178*(1+M179)</f>
        <v>237.38385000000002</v>
      </c>
      <c r="N178" s="58">
        <f>+M178*(1+N179)</f>
        <v>261.12223500000005</v>
      </c>
    </row>
    <row r="179" spans="1:14" x14ac:dyDescent="0.3">
      <c r="A179" s="73" t="s">
        <v>225</v>
      </c>
      <c r="B179" s="74" t="s">
        <v>237</v>
      </c>
      <c r="C179" s="74" t="str">
        <f>+IFERROR(C178/B178-1,"nm")</f>
        <v>nm</v>
      </c>
      <c r="D179" s="74" t="str">
        <f>+IFERROR(D178/C178-1,"nm")</f>
        <v>nm</v>
      </c>
      <c r="E179" s="74" t="str">
        <f>+IFERROR(E178/D178-1,"nm")</f>
        <v>nm</v>
      </c>
      <c r="F179" s="74">
        <f>+IFERROR(F178/E178-1,"nm")</f>
        <v>2.9126213592232997E-2</v>
      </c>
      <c r="G179" s="74">
        <f>+IFERROR(G178/F178-1,"nm")</f>
        <v>-0.15094339622641506</v>
      </c>
      <c r="H179" s="74">
        <f>+IFERROR(CG178/G178-1,"nm")</f>
        <v>-1</v>
      </c>
      <c r="I179" s="74">
        <f>+IFERROR(I178/H178-1,"nm")</f>
        <v>0.43023255813953498</v>
      </c>
      <c r="J179" s="70">
        <v>0.45</v>
      </c>
      <c r="K179" s="70">
        <f>+K180+K181</f>
        <v>0.1</v>
      </c>
      <c r="L179" s="70">
        <f>+L180+L181</f>
        <v>0.1</v>
      </c>
      <c r="M179" s="70">
        <f>+M180+M181</f>
        <v>0.1</v>
      </c>
      <c r="N179" s="70">
        <f>+N180+N181</f>
        <v>0.1</v>
      </c>
    </row>
    <row r="180" spans="1:14" x14ac:dyDescent="0.3">
      <c r="A180" s="73" t="s">
        <v>227</v>
      </c>
      <c r="B180" s="74">
        <v>0</v>
      </c>
      <c r="C180" s="74">
        <v>0</v>
      </c>
      <c r="D180" s="74">
        <v>0</v>
      </c>
      <c r="E180" s="74">
        <v>0</v>
      </c>
      <c r="F180" s="74">
        <v>0</v>
      </c>
      <c r="G180" s="74">
        <v>0</v>
      </c>
      <c r="H180" s="74">
        <v>0</v>
      </c>
      <c r="I180" s="74">
        <v>0</v>
      </c>
      <c r="J180" s="70">
        <v>0.1</v>
      </c>
      <c r="K180" s="70">
        <f t="shared" ref="K180:N181" si="132">+J180</f>
        <v>0.1</v>
      </c>
      <c r="L180" s="70">
        <f t="shared" si="132"/>
        <v>0.1</v>
      </c>
      <c r="M180" s="70">
        <f t="shared" si="132"/>
        <v>0.1</v>
      </c>
      <c r="N180" s="70">
        <f t="shared" si="132"/>
        <v>0.1</v>
      </c>
    </row>
    <row r="181" spans="1:14" x14ac:dyDescent="0.3">
      <c r="A181" s="73" t="s">
        <v>228</v>
      </c>
      <c r="B181" s="74" t="str">
        <f t="shared" ref="B181:I181" si="133">+IFERROR(B179-B180,"nm")</f>
        <v>nm</v>
      </c>
      <c r="C181" s="74" t="str">
        <f t="shared" si="133"/>
        <v>nm</v>
      </c>
      <c r="D181" s="74" t="str">
        <f t="shared" si="133"/>
        <v>nm</v>
      </c>
      <c r="E181" s="74" t="str">
        <f t="shared" si="133"/>
        <v>nm</v>
      </c>
      <c r="F181" s="74">
        <f t="shared" si="133"/>
        <v>2.9126213592232997E-2</v>
      </c>
      <c r="G181" s="74">
        <f t="shared" si="133"/>
        <v>-0.15094339622641506</v>
      </c>
      <c r="H181" s="74">
        <f t="shared" si="133"/>
        <v>-1</v>
      </c>
      <c r="I181" s="74">
        <f t="shared" si="133"/>
        <v>0.43023255813953498</v>
      </c>
      <c r="J181" s="70">
        <v>0</v>
      </c>
      <c r="K181" s="70">
        <f t="shared" si="132"/>
        <v>0</v>
      </c>
      <c r="L181" s="70">
        <f t="shared" si="132"/>
        <v>0</v>
      </c>
      <c r="M181" s="70">
        <f t="shared" si="132"/>
        <v>0</v>
      </c>
      <c r="N181" s="70">
        <f t="shared" si="132"/>
        <v>0</v>
      </c>
    </row>
    <row r="182" spans="1:14" x14ac:dyDescent="0.3">
      <c r="A182" s="9" t="s">
        <v>130</v>
      </c>
      <c r="B182" s="46">
        <f t="shared" ref="B182:I182" si="134">+B189+B185</f>
        <v>535</v>
      </c>
      <c r="C182" s="46">
        <f t="shared" si="134"/>
        <v>514</v>
      </c>
      <c r="D182" s="46">
        <f t="shared" si="134"/>
        <v>505</v>
      </c>
      <c r="E182" s="46">
        <f t="shared" si="134"/>
        <v>343</v>
      </c>
      <c r="F182" s="46">
        <f t="shared" si="134"/>
        <v>334</v>
      </c>
      <c r="G182" s="46">
        <f t="shared" si="134"/>
        <v>322</v>
      </c>
      <c r="H182" s="46">
        <f t="shared" si="134"/>
        <v>569</v>
      </c>
      <c r="I182" s="46">
        <f t="shared" si="134"/>
        <v>691</v>
      </c>
      <c r="J182" s="58">
        <f>+J164*J184</f>
        <v>865.80450000000008</v>
      </c>
      <c r="K182" s="58">
        <f>+K164*K184</f>
        <v>952.38495000000012</v>
      </c>
      <c r="L182" s="58">
        <f>+L164*L184</f>
        <v>1047.6234450000002</v>
      </c>
      <c r="M182" s="58">
        <f>+M164*M184</f>
        <v>1152.3857895000006</v>
      </c>
      <c r="N182" s="58">
        <f>+N164*N184</f>
        <v>1267.6243684500005</v>
      </c>
    </row>
    <row r="183" spans="1:14" x14ac:dyDescent="0.3">
      <c r="A183" s="44" t="s">
        <v>129</v>
      </c>
      <c r="B183" s="45" t="str">
        <f t="shared" ref="B183:N183" si="135">+IFERROR(B182/A182-1,"nm")</f>
        <v>nm</v>
      </c>
      <c r="C183" s="45">
        <f t="shared" si="135"/>
        <v>-3.9252336448598157E-2</v>
      </c>
      <c r="D183" s="45">
        <f t="shared" si="135"/>
        <v>-1.7509727626459193E-2</v>
      </c>
      <c r="E183" s="45">
        <f t="shared" si="135"/>
        <v>-0.32079207920792074</v>
      </c>
      <c r="F183" s="45">
        <f t="shared" si="135"/>
        <v>-2.6239067055393583E-2</v>
      </c>
      <c r="G183" s="45">
        <f t="shared" si="135"/>
        <v>-3.59281437125748E-2</v>
      </c>
      <c r="H183" s="45">
        <f t="shared" si="135"/>
        <v>0.76708074534161486</v>
      </c>
      <c r="I183" s="45">
        <f t="shared" si="135"/>
        <v>0.21441124780316345</v>
      </c>
      <c r="J183" s="70">
        <f t="shared" si="135"/>
        <v>0.25297322720694648</v>
      </c>
      <c r="K183" s="70">
        <f t="shared" si="135"/>
        <v>0.10000000000000009</v>
      </c>
      <c r="L183" s="70">
        <f t="shared" si="135"/>
        <v>0.10000000000000009</v>
      </c>
      <c r="M183" s="70">
        <f t="shared" si="135"/>
        <v>0.10000000000000031</v>
      </c>
      <c r="N183" s="70">
        <f t="shared" si="135"/>
        <v>9.9999999999999867E-2</v>
      </c>
    </row>
    <row r="184" spans="1:14" x14ac:dyDescent="0.3">
      <c r="A184" s="44" t="s">
        <v>131</v>
      </c>
      <c r="B184" s="45">
        <f t="shared" ref="B184:I184" si="136">+IFERROR(B182/B$164,"nm")</f>
        <v>1.8613227568451449E-2</v>
      </c>
      <c r="C184" s="45">
        <f t="shared" si="136"/>
        <v>1.6889005717289872E-2</v>
      </c>
      <c r="D184" s="45">
        <f t="shared" si="136"/>
        <v>1.5702736318407962E-2</v>
      </c>
      <c r="E184" s="45">
        <f t="shared" si="136"/>
        <v>9.9420289855072456E-3</v>
      </c>
      <c r="F184" s="45">
        <f t="shared" si="136"/>
        <v>8.9587468483450453E-3</v>
      </c>
      <c r="G184" s="45">
        <f t="shared" si="136"/>
        <v>8.956884561891516E-3</v>
      </c>
      <c r="H184" s="45">
        <f t="shared" si="136"/>
        <v>0.25804988662131517</v>
      </c>
      <c r="I184" s="45">
        <f t="shared" si="136"/>
        <v>0.29454390451832907</v>
      </c>
      <c r="J184" s="70">
        <v>0.33</v>
      </c>
      <c r="K184" s="70">
        <f>+J184</f>
        <v>0.33</v>
      </c>
      <c r="L184" s="70">
        <f>+K184</f>
        <v>0.33</v>
      </c>
      <c r="M184" s="70">
        <f>+L184</f>
        <v>0.33</v>
      </c>
      <c r="N184" s="70">
        <f>+M184</f>
        <v>0.33</v>
      </c>
    </row>
    <row r="185" spans="1:14" x14ac:dyDescent="0.3">
      <c r="A185" s="9" t="s">
        <v>132</v>
      </c>
      <c r="B185" s="9">
        <f>+'Historicals (2)'!B177</f>
        <v>18</v>
      </c>
      <c r="C185" s="9">
        <f>+'Historicals (2)'!C177</f>
        <v>27</v>
      </c>
      <c r="D185" s="9">
        <f>+'Historicals (2)'!D177</f>
        <v>28</v>
      </c>
      <c r="E185" s="9">
        <f>+'Historicals (2)'!E177</f>
        <v>33</v>
      </c>
      <c r="F185" s="9">
        <f>+'Historicals (2)'!F177</f>
        <v>31</v>
      </c>
      <c r="G185" s="9">
        <f>+'Historicals (2)'!G177</f>
        <v>25</v>
      </c>
      <c r="H185" s="9">
        <f>+'Historicals (2)'!H177</f>
        <v>26</v>
      </c>
      <c r="I185" s="9">
        <f>+'Historicals (2)'!I177</f>
        <v>22</v>
      </c>
      <c r="J185" s="58">
        <f>+J188*J195</f>
        <v>58.898265306122454</v>
      </c>
      <c r="K185" s="58">
        <f>+K188*K195</f>
        <v>64.788091836734708</v>
      </c>
      <c r="L185" s="58">
        <f>+L188*L195</f>
        <v>71.266901020408184</v>
      </c>
      <c r="M185" s="58">
        <f>+M188*M195</f>
        <v>78.39359112244901</v>
      </c>
      <c r="N185" s="58">
        <f>+N188*N195</f>
        <v>86.232950234693902</v>
      </c>
    </row>
    <row r="186" spans="1:14" x14ac:dyDescent="0.3">
      <c r="A186" s="44" t="s">
        <v>129</v>
      </c>
      <c r="B186" s="45" t="str">
        <f t="shared" ref="B186:N186" si="137">+IFERROR(B185/A185-1,"nm")</f>
        <v>nm</v>
      </c>
      <c r="C186" s="45">
        <f t="shared" si="137"/>
        <v>0.5</v>
      </c>
      <c r="D186" s="45">
        <f t="shared" si="137"/>
        <v>3.7037037037036979E-2</v>
      </c>
      <c r="E186" s="45">
        <f t="shared" si="137"/>
        <v>0.1785714285714286</v>
      </c>
      <c r="F186" s="45">
        <f t="shared" si="137"/>
        <v>-6.0606060606060552E-2</v>
      </c>
      <c r="G186" s="45">
        <f t="shared" si="137"/>
        <v>-0.19354838709677424</v>
      </c>
      <c r="H186" s="45">
        <f t="shared" si="137"/>
        <v>4.0000000000000036E-2</v>
      </c>
      <c r="I186" s="45">
        <f t="shared" si="137"/>
        <v>-0.15384615384615385</v>
      </c>
      <c r="J186" s="70">
        <f t="shared" si="137"/>
        <v>1.6771938775510207</v>
      </c>
      <c r="K186" s="70">
        <f t="shared" si="137"/>
        <v>0.10000000000000009</v>
      </c>
      <c r="L186" s="70">
        <f t="shared" si="137"/>
        <v>0.10000000000000009</v>
      </c>
      <c r="M186" s="70">
        <f t="shared" si="137"/>
        <v>0.10000000000000009</v>
      </c>
      <c r="N186" s="70">
        <f t="shared" si="137"/>
        <v>9.9999999999999867E-2</v>
      </c>
    </row>
    <row r="187" spans="1:14" x14ac:dyDescent="0.3">
      <c r="A187" s="44" t="s">
        <v>133</v>
      </c>
      <c r="B187" s="45">
        <f t="shared" ref="B187:I187" si="138">+IFERROR(B185/B$164,"nm")</f>
        <v>6.262394322095815E-4</v>
      </c>
      <c r="C187" s="45">
        <f t="shared" si="138"/>
        <v>8.8716566997437078E-4</v>
      </c>
      <c r="D187" s="45">
        <f t="shared" si="138"/>
        <v>8.7064676616915426E-4</v>
      </c>
      <c r="E187" s="45">
        <f t="shared" si="138"/>
        <v>9.5652173913043481E-4</v>
      </c>
      <c r="F187" s="45">
        <f t="shared" si="138"/>
        <v>8.31500455984121E-4</v>
      </c>
      <c r="G187" s="45">
        <f t="shared" si="138"/>
        <v>6.9541029207232264E-4</v>
      </c>
      <c r="H187" s="45">
        <f t="shared" si="138"/>
        <v>1.1791383219954649E-2</v>
      </c>
      <c r="I187" s="45">
        <f t="shared" si="138"/>
        <v>9.3776641091219103E-3</v>
      </c>
      <c r="J187" s="70">
        <f>+IFERROR(J185/J$21,"nm")</f>
        <v>3.0802856594684415E-3</v>
      </c>
      <c r="K187" s="70">
        <f>+IFERROR(K185/K$21,"nm")</f>
        <v>3.2492929701752916E-3</v>
      </c>
      <c r="L187" s="70">
        <f>+IFERROR(L185/L$21,"nm")</f>
        <v>3.4240929671750537E-3</v>
      </c>
      <c r="M187" s="70">
        <f>+IFERROR(M185/M$21,"nm")</f>
        <v>3.6041587323013182E-3</v>
      </c>
      <c r="N187" s="70">
        <f>+IFERROR(N185/N$21,"nm")</f>
        <v>3.7887859097243725E-3</v>
      </c>
    </row>
    <row r="188" spans="1:14" x14ac:dyDescent="0.3">
      <c r="A188" s="44" t="s">
        <v>140</v>
      </c>
      <c r="B188" s="45">
        <f t="shared" ref="B188:I188" si="139">+IFERROR(B185/B195,"nm")</f>
        <v>0.14754098360655737</v>
      </c>
      <c r="C188" s="45">
        <f t="shared" si="139"/>
        <v>0.216</v>
      </c>
      <c r="D188" s="45">
        <f t="shared" si="139"/>
        <v>0.224</v>
      </c>
      <c r="E188" s="45">
        <f t="shared" si="139"/>
        <v>0.28695652173913044</v>
      </c>
      <c r="F188" s="45">
        <f t="shared" si="139"/>
        <v>0.31</v>
      </c>
      <c r="G188" s="45">
        <f t="shared" si="139"/>
        <v>0.3125</v>
      </c>
      <c r="H188" s="45">
        <f t="shared" si="139"/>
        <v>0.41269841269841268</v>
      </c>
      <c r="I188" s="45">
        <f t="shared" si="139"/>
        <v>0.44897959183673469</v>
      </c>
      <c r="J188" s="70">
        <f>+I188</f>
        <v>0.44897959183673469</v>
      </c>
      <c r="K188" s="70">
        <f>+J188</f>
        <v>0.44897959183673469</v>
      </c>
      <c r="L188" s="70">
        <f>+K188</f>
        <v>0.44897959183673469</v>
      </c>
      <c r="M188" s="70">
        <f>+L188</f>
        <v>0.44897959183673469</v>
      </c>
      <c r="N188" s="70">
        <f>+M188</f>
        <v>0.44897959183673469</v>
      </c>
    </row>
    <row r="189" spans="1:14" x14ac:dyDescent="0.3">
      <c r="A189" s="9" t="s">
        <v>134</v>
      </c>
      <c r="B189" s="9">
        <f>+'Historicals (2)'!B144</f>
        <v>517</v>
      </c>
      <c r="C189" s="9">
        <f>+'Historicals (2)'!C144</f>
        <v>487</v>
      </c>
      <c r="D189" s="9">
        <f>+'Historicals (2)'!D144</f>
        <v>477</v>
      </c>
      <c r="E189" s="9">
        <f>+'Historicals (2)'!E144</f>
        <v>310</v>
      </c>
      <c r="F189" s="9">
        <f>+'Historicals (2)'!F144</f>
        <v>303</v>
      </c>
      <c r="G189" s="9">
        <f>+'Historicals (2)'!G144</f>
        <v>297</v>
      </c>
      <c r="H189" s="9">
        <f>+'Historicals (2)'!H144</f>
        <v>543</v>
      </c>
      <c r="I189" s="9">
        <f>+'Historicals (2)'!I144</f>
        <v>669</v>
      </c>
      <c r="J189" s="58">
        <f>+J182-J185</f>
        <v>806.90623469387765</v>
      </c>
      <c r="K189" s="58">
        <f>+K182-K185</f>
        <v>887.59685816326544</v>
      </c>
      <c r="L189" s="58">
        <f>+L182-L185</f>
        <v>976.35654397959195</v>
      </c>
      <c r="M189" s="58">
        <f>+M182-M185</f>
        <v>1073.9921983775516</v>
      </c>
      <c r="N189" s="58">
        <f>+N182-N185</f>
        <v>1181.3914182153067</v>
      </c>
    </row>
    <row r="190" spans="1:14" x14ac:dyDescent="0.3">
      <c r="A190" s="44" t="s">
        <v>129</v>
      </c>
      <c r="B190" s="45" t="str">
        <f t="shared" ref="B190:N190" si="140">+IFERROR(B189/A189-1,"nm")</f>
        <v>nm</v>
      </c>
      <c r="C190" s="45">
        <f t="shared" si="140"/>
        <v>-5.8027079303675011E-2</v>
      </c>
      <c r="D190" s="45">
        <f t="shared" si="140"/>
        <v>-2.0533880903490731E-2</v>
      </c>
      <c r="E190" s="45">
        <f t="shared" si="140"/>
        <v>-0.35010482180293501</v>
      </c>
      <c r="F190" s="45">
        <f t="shared" si="140"/>
        <v>-2.2580645161290325E-2</v>
      </c>
      <c r="G190" s="45">
        <f t="shared" si="140"/>
        <v>-1.980198019801982E-2</v>
      </c>
      <c r="H190" s="45">
        <f t="shared" si="140"/>
        <v>0.82828282828282829</v>
      </c>
      <c r="I190" s="45">
        <f t="shared" si="140"/>
        <v>0.2320441988950277</v>
      </c>
      <c r="J190" s="70">
        <f t="shared" si="140"/>
        <v>0.20613786949757507</v>
      </c>
      <c r="K190" s="70">
        <f t="shared" si="140"/>
        <v>0.10000000000000009</v>
      </c>
      <c r="L190" s="70">
        <f t="shared" si="140"/>
        <v>9.9999999999999867E-2</v>
      </c>
      <c r="M190" s="70">
        <f t="shared" si="140"/>
        <v>0.10000000000000053</v>
      </c>
      <c r="N190" s="70">
        <f t="shared" si="140"/>
        <v>9.9999999999999867E-2</v>
      </c>
    </row>
    <row r="191" spans="1:14" x14ac:dyDescent="0.3">
      <c r="A191" s="44" t="s">
        <v>131</v>
      </c>
      <c r="B191" s="45">
        <f t="shared" ref="B191:I191" si="141">+IFERROR(B189/B$164,"nm")</f>
        <v>1.7986988136241867E-2</v>
      </c>
      <c r="C191" s="45">
        <f t="shared" si="141"/>
        <v>1.6001840047315502E-2</v>
      </c>
      <c r="D191" s="45">
        <f t="shared" si="141"/>
        <v>1.4832089552238806E-2</v>
      </c>
      <c r="E191" s="45">
        <f t="shared" si="141"/>
        <v>8.9855072463768115E-3</v>
      </c>
      <c r="F191" s="45">
        <f t="shared" si="141"/>
        <v>8.1272463923609244E-3</v>
      </c>
      <c r="G191" s="45">
        <f t="shared" si="141"/>
        <v>8.2614742698191926E-3</v>
      </c>
      <c r="H191" s="45">
        <f t="shared" si="141"/>
        <v>0.24625850340136055</v>
      </c>
      <c r="I191" s="45">
        <f t="shared" si="141"/>
        <v>0.28516624040920718</v>
      </c>
      <c r="J191" s="70">
        <f>+IFERROR(J189/J$21,"nm")</f>
        <v>4.2199913534717651E-2</v>
      </c>
      <c r="K191" s="70">
        <f>+IFERROR(K189/K$21,"nm")</f>
        <v>4.4515313691401492E-2</v>
      </c>
      <c r="L191" s="70">
        <f>+IFERROR(L189/L$21,"nm")</f>
        <v>4.6910073650298229E-2</v>
      </c>
      <c r="M191" s="70">
        <f>+IFERROR(M189/M$21,"nm")</f>
        <v>4.9376974632528069E-2</v>
      </c>
      <c r="N191" s="70">
        <f>+IFERROR(N189/N$21,"nm")</f>
        <v>5.1906366963223913E-2</v>
      </c>
    </row>
    <row r="192" spans="1:14" x14ac:dyDescent="0.3">
      <c r="A192" s="9" t="s">
        <v>135</v>
      </c>
      <c r="B192" s="9">
        <f>+'Historicals (2)'!B166</f>
        <v>69</v>
      </c>
      <c r="C192" s="9">
        <f>+'Historicals (2)'!C166</f>
        <v>39</v>
      </c>
      <c r="D192" s="9">
        <f>+'Historicals (2)'!D166</f>
        <v>30</v>
      </c>
      <c r="E192" s="9">
        <f>+'Historicals (2)'!E166</f>
        <v>22</v>
      </c>
      <c r="F192" s="9">
        <f>+'Historicals (2)'!F166</f>
        <v>18</v>
      </c>
      <c r="G192" s="9">
        <f>+'Historicals (2)'!G166</f>
        <v>12</v>
      </c>
      <c r="H192" s="9">
        <f>+'Historicals (2)'!H166</f>
        <v>7</v>
      </c>
      <c r="I192" s="9">
        <f>+'Historicals (2)'!I166</f>
        <v>9</v>
      </c>
      <c r="J192" s="58">
        <f>+J164*J194</f>
        <v>10.065153452685422</v>
      </c>
      <c r="K192" s="58">
        <f>+K164*K194</f>
        <v>11.071668797953965</v>
      </c>
      <c r="L192" s="58">
        <f>+L164*L194</f>
        <v>12.178835677749364</v>
      </c>
      <c r="M192" s="58">
        <f>+M164*M194</f>
        <v>13.396719245524302</v>
      </c>
      <c r="N192" s="58">
        <f>+N164*N194</f>
        <v>14.736391170076731</v>
      </c>
    </row>
    <row r="193" spans="1:14" x14ac:dyDescent="0.3">
      <c r="A193" s="44" t="s">
        <v>129</v>
      </c>
      <c r="B193" s="45" t="str">
        <f t="shared" ref="B193:N193" si="142">+IFERROR(B192/A192-1,"nm")</f>
        <v>nm</v>
      </c>
      <c r="C193" s="45">
        <f t="shared" si="142"/>
        <v>-0.43478260869565222</v>
      </c>
      <c r="D193" s="45">
        <f t="shared" si="142"/>
        <v>-0.23076923076923073</v>
      </c>
      <c r="E193" s="45">
        <f t="shared" si="142"/>
        <v>-0.26666666666666672</v>
      </c>
      <c r="F193" s="45">
        <f t="shared" si="142"/>
        <v>-0.18181818181818177</v>
      </c>
      <c r="G193" s="45">
        <f t="shared" si="142"/>
        <v>-0.33333333333333337</v>
      </c>
      <c r="H193" s="45">
        <f t="shared" si="142"/>
        <v>-0.41666666666666663</v>
      </c>
      <c r="I193" s="45">
        <f t="shared" si="142"/>
        <v>0.28571428571428581</v>
      </c>
      <c r="J193" s="70">
        <f t="shared" si="142"/>
        <v>0.11835038363171346</v>
      </c>
      <c r="K193" s="70">
        <f t="shared" si="142"/>
        <v>0.10000000000000009</v>
      </c>
      <c r="L193" s="70">
        <f t="shared" si="142"/>
        <v>0.10000000000000009</v>
      </c>
      <c r="M193" s="70">
        <f t="shared" si="142"/>
        <v>0.10000000000000009</v>
      </c>
      <c r="N193" s="70">
        <f t="shared" si="142"/>
        <v>9.9999999999999867E-2</v>
      </c>
    </row>
    <row r="194" spans="1:14" x14ac:dyDescent="0.3">
      <c r="A194" s="44" t="s">
        <v>133</v>
      </c>
      <c r="B194" s="45">
        <f t="shared" ref="B194:I194" si="143">+IFERROR(B192/B$164,"nm")</f>
        <v>2.4005844901367288E-3</v>
      </c>
      <c r="C194" s="45">
        <f t="shared" si="143"/>
        <v>1.2814615232963134E-3</v>
      </c>
      <c r="D194" s="45">
        <f t="shared" si="143"/>
        <v>9.3283582089552237E-4</v>
      </c>
      <c r="E194" s="45">
        <f t="shared" si="143"/>
        <v>6.3768115942028987E-4</v>
      </c>
      <c r="F194" s="45">
        <f t="shared" si="143"/>
        <v>4.8280671637787674E-4</v>
      </c>
      <c r="G194" s="45">
        <f t="shared" si="143"/>
        <v>3.3379694019471486E-4</v>
      </c>
      <c r="H194" s="45">
        <f t="shared" si="143"/>
        <v>3.1746031746031746E-3</v>
      </c>
      <c r="I194" s="45">
        <f t="shared" si="143"/>
        <v>3.8363171355498722E-3</v>
      </c>
      <c r="J194" s="70">
        <f>+I194</f>
        <v>3.8363171355498722E-3</v>
      </c>
      <c r="K194" s="70">
        <f>+J194</f>
        <v>3.8363171355498722E-3</v>
      </c>
      <c r="L194" s="70">
        <f>+K194</f>
        <v>3.8363171355498722E-3</v>
      </c>
      <c r="M194" s="70">
        <f>+L194</f>
        <v>3.8363171355498722E-3</v>
      </c>
      <c r="N194" s="70">
        <f>+M194</f>
        <v>3.8363171355498722E-3</v>
      </c>
    </row>
    <row r="195" spans="1:14" x14ac:dyDescent="0.3">
      <c r="A195" s="9" t="s">
        <v>141</v>
      </c>
      <c r="B195" s="9">
        <f>+'Historicals (2)'!B155</f>
        <v>122</v>
      </c>
      <c r="C195" s="9">
        <f>+'Historicals (2)'!C155</f>
        <v>125</v>
      </c>
      <c r="D195" s="9">
        <f>+'Historicals (2)'!D155</f>
        <v>125</v>
      </c>
      <c r="E195" s="9">
        <f>+'Historicals (2)'!E155</f>
        <v>115</v>
      </c>
      <c r="F195" s="9">
        <f>+'Historicals (2)'!F155</f>
        <v>100</v>
      </c>
      <c r="G195" s="9">
        <f>+'Historicals (2)'!G155</f>
        <v>80</v>
      </c>
      <c r="H195" s="77">
        <f>+'Historicals (2)'!H155</f>
        <v>63</v>
      </c>
      <c r="I195" s="77">
        <f>+'Historicals (2)'!I155</f>
        <v>49</v>
      </c>
      <c r="J195" s="58">
        <f>+J164*J197</f>
        <v>131.1825</v>
      </c>
      <c r="K195" s="58">
        <f>+K164*K197</f>
        <v>144.30075000000002</v>
      </c>
      <c r="L195" s="58">
        <f>+L164*L197</f>
        <v>158.73082500000004</v>
      </c>
      <c r="M195" s="58">
        <f>+M164*M197</f>
        <v>174.60390750000008</v>
      </c>
      <c r="N195" s="58">
        <f>+N164*N197</f>
        <v>192.06429825000006</v>
      </c>
    </row>
    <row r="196" spans="1:14" x14ac:dyDescent="0.3">
      <c r="A196" s="44" t="s">
        <v>129</v>
      </c>
      <c r="B196" s="45" t="str">
        <f t="shared" ref="B196:I196" si="144">+IFERROR(B195/A195-1,"nm")</f>
        <v>nm</v>
      </c>
      <c r="C196" s="45">
        <f t="shared" si="144"/>
        <v>2.4590163934426146E-2</v>
      </c>
      <c r="D196" s="45">
        <f t="shared" si="144"/>
        <v>0</v>
      </c>
      <c r="E196" s="45">
        <f t="shared" si="144"/>
        <v>-7.999999999999996E-2</v>
      </c>
      <c r="F196" s="45">
        <f t="shared" si="144"/>
        <v>-0.13043478260869568</v>
      </c>
      <c r="G196" s="45">
        <f t="shared" si="144"/>
        <v>-0.19999999999999996</v>
      </c>
      <c r="H196" s="74">
        <f t="shared" si="144"/>
        <v>-0.21250000000000002</v>
      </c>
      <c r="I196" s="74">
        <f t="shared" si="144"/>
        <v>-0.22222222222222221</v>
      </c>
      <c r="J196" s="70">
        <f>+J197+J198</f>
        <v>0.05</v>
      </c>
      <c r="K196" s="70">
        <f>+K197+K198</f>
        <v>0.05</v>
      </c>
      <c r="L196" s="70">
        <f>+L197+L198</f>
        <v>0.05</v>
      </c>
      <c r="M196" s="70">
        <f>+M197+M198</f>
        <v>0.05</v>
      </c>
      <c r="N196" s="70">
        <f>+N197+N198</f>
        <v>0.05</v>
      </c>
    </row>
    <row r="197" spans="1:14" x14ac:dyDescent="0.3">
      <c r="A197" s="44" t="s">
        <v>133</v>
      </c>
      <c r="B197" s="45">
        <f t="shared" ref="B197:I197" si="145">+IFERROR(B195/B$164,"nm")</f>
        <v>4.2445117071982742E-3</v>
      </c>
      <c r="C197" s="45">
        <f t="shared" si="145"/>
        <v>4.107248472103568E-3</v>
      </c>
      <c r="D197" s="45">
        <f t="shared" si="145"/>
        <v>3.88681592039801E-3</v>
      </c>
      <c r="E197" s="45">
        <f t="shared" si="145"/>
        <v>3.3333333333333335E-3</v>
      </c>
      <c r="F197" s="45">
        <f t="shared" si="145"/>
        <v>2.6822595354326485E-3</v>
      </c>
      <c r="G197" s="45">
        <f t="shared" si="145"/>
        <v>2.2253129346314327E-3</v>
      </c>
      <c r="H197" s="74">
        <f t="shared" si="145"/>
        <v>2.8571428571428571E-2</v>
      </c>
      <c r="I197" s="74">
        <f t="shared" si="145"/>
        <v>2.0886615515771527E-2</v>
      </c>
      <c r="J197" s="70">
        <v>0.05</v>
      </c>
      <c r="K197" s="70">
        <f>+J197</f>
        <v>0.05</v>
      </c>
      <c r="L197" s="70">
        <f>+K197</f>
        <v>0.05</v>
      </c>
      <c r="M197" s="70">
        <f>+L197</f>
        <v>0.05</v>
      </c>
      <c r="N197" s="70">
        <f>+M197</f>
        <v>0.05</v>
      </c>
    </row>
    <row r="198" spans="1:14" x14ac:dyDescent="0.3">
      <c r="A198" s="87" t="s">
        <v>238</v>
      </c>
    </row>
    <row r="199" spans="1:14" x14ac:dyDescent="0.3">
      <c r="A199" s="72" t="s">
        <v>224</v>
      </c>
      <c r="B199" s="72">
        <f>+'Historicals (2)'!B134</f>
        <v>-82</v>
      </c>
      <c r="C199" s="72">
        <f>+'Historicals (2)'!C134</f>
        <v>-86</v>
      </c>
      <c r="D199" s="72">
        <f>+'Historicals (2)'!D134</f>
        <v>75</v>
      </c>
      <c r="E199" s="72">
        <f>+'Historicals (2)'!E134</f>
        <v>26</v>
      </c>
      <c r="F199" s="72">
        <f>+'Historicals (2)'!F134</f>
        <v>-7</v>
      </c>
      <c r="G199" s="72">
        <f>+'Historicals (2)'!G134</f>
        <v>-11</v>
      </c>
      <c r="H199" s="72">
        <f>+'Historicals (2)'!H134</f>
        <v>40</v>
      </c>
      <c r="I199" s="72">
        <f>+'Historicals (2)'!I134</f>
        <v>-72</v>
      </c>
      <c r="J199" s="58">
        <f>I199*(1+J123)</f>
        <v>-72</v>
      </c>
      <c r="K199" s="58">
        <f>J199*(1+K123)</f>
        <v>-72</v>
      </c>
      <c r="L199" s="58">
        <f>K199*(1+L123)</f>
        <v>-72</v>
      </c>
      <c r="M199" s="58">
        <f>L199*(1+M123)</f>
        <v>-72</v>
      </c>
      <c r="N199" s="58">
        <f>M199*(1+N123)</f>
        <v>-72</v>
      </c>
    </row>
    <row r="200" spans="1:14" x14ac:dyDescent="0.3">
      <c r="A200" s="73" t="s">
        <v>225</v>
      </c>
      <c r="B200" s="74" t="str">
        <f>+IFERROR(B199/A199-1,"nm")</f>
        <v>nm</v>
      </c>
      <c r="C200" s="74">
        <f>+IFERROR(C199/B199-1,"nm")%</f>
        <v>4.8780487804878092E-4</v>
      </c>
      <c r="D200" s="74">
        <f t="shared" ref="D200:N200" si="146">+IFERROR(D199/C199-1,"nm")</f>
        <v>-1.8720930232558139</v>
      </c>
      <c r="E200" s="74">
        <f t="shared" si="146"/>
        <v>-0.65333333333333332</v>
      </c>
      <c r="F200" s="74">
        <f t="shared" si="146"/>
        <v>-1.2692307692307692</v>
      </c>
      <c r="G200" s="74">
        <f t="shared" si="146"/>
        <v>0.5714285714285714</v>
      </c>
      <c r="H200" s="74">
        <f t="shared" si="146"/>
        <v>-4.6363636363636367</v>
      </c>
      <c r="I200" s="74">
        <f t="shared" si="146"/>
        <v>-2.8</v>
      </c>
      <c r="J200" s="70">
        <f t="shared" si="146"/>
        <v>0</v>
      </c>
      <c r="K200" s="70">
        <f t="shared" si="146"/>
        <v>0</v>
      </c>
      <c r="L200" s="70">
        <f t="shared" si="146"/>
        <v>0</v>
      </c>
      <c r="M200" s="70">
        <f t="shared" si="146"/>
        <v>0</v>
      </c>
      <c r="N200" s="70">
        <f t="shared" si="146"/>
        <v>0</v>
      </c>
    </row>
    <row r="201" spans="1:14" x14ac:dyDescent="0.3">
      <c r="A201" s="72" t="s">
        <v>231</v>
      </c>
      <c r="B201" s="72">
        <f t="shared" ref="B201:I201" si="147">B208+B204</f>
        <v>-1022</v>
      </c>
      <c r="C201" s="72">
        <f t="shared" si="147"/>
        <v>-1089</v>
      </c>
      <c r="D201" s="72">
        <f t="shared" si="147"/>
        <v>-640</v>
      </c>
      <c r="E201" s="72">
        <f t="shared" si="147"/>
        <v>-1346</v>
      </c>
      <c r="F201" s="72">
        <f t="shared" si="147"/>
        <v>-1694</v>
      </c>
      <c r="G201" s="72">
        <f t="shared" si="147"/>
        <v>-1855</v>
      </c>
      <c r="H201" s="72">
        <f t="shared" si="147"/>
        <v>-2120</v>
      </c>
      <c r="I201" s="72">
        <f t="shared" si="147"/>
        <v>-2085</v>
      </c>
      <c r="J201" s="58">
        <f>+J199*J203</f>
        <v>-2085</v>
      </c>
      <c r="K201" s="58">
        <f>+K199*K203</f>
        <v>-2085</v>
      </c>
      <c r="L201" s="58">
        <f>+L199*L203</f>
        <v>-2085</v>
      </c>
      <c r="M201" s="58">
        <f>+M199*M203</f>
        <v>-2085</v>
      </c>
      <c r="N201" s="58">
        <f>+N199*N203</f>
        <v>-2085</v>
      </c>
    </row>
    <row r="202" spans="1:14" x14ac:dyDescent="0.3">
      <c r="A202" s="76" t="s">
        <v>225</v>
      </c>
      <c r="B202" s="74" t="str">
        <f>+IFERROR(B201/A201-1,"nm")</f>
        <v>nm</v>
      </c>
      <c r="C202" s="74">
        <f>+IFERROR(B201/C201-1,"nm")</f>
        <v>-6.1524334251606971E-2</v>
      </c>
      <c r="D202" s="74">
        <f t="shared" ref="D202:N202" si="148">+IFERROR(D201/C201-1,"nm")</f>
        <v>-0.41230486685032142</v>
      </c>
      <c r="E202" s="74">
        <f t="shared" si="148"/>
        <v>1.1031249999999999</v>
      </c>
      <c r="F202" s="74">
        <f t="shared" si="148"/>
        <v>0.25854383358098065</v>
      </c>
      <c r="G202" s="74">
        <f t="shared" si="148"/>
        <v>9.5041322314049603E-2</v>
      </c>
      <c r="H202" s="74">
        <f t="shared" si="148"/>
        <v>0.14285714285714279</v>
      </c>
      <c r="I202" s="74">
        <f t="shared" si="148"/>
        <v>-1.650943396226412E-2</v>
      </c>
      <c r="J202" s="70">
        <f t="shared" si="148"/>
        <v>0</v>
      </c>
      <c r="K202" s="70">
        <f t="shared" si="148"/>
        <v>0</v>
      </c>
      <c r="L202" s="70">
        <f t="shared" si="148"/>
        <v>0</v>
      </c>
      <c r="M202" s="70">
        <f t="shared" si="148"/>
        <v>0</v>
      </c>
      <c r="N202" s="70">
        <f t="shared" si="148"/>
        <v>0</v>
      </c>
    </row>
    <row r="203" spans="1:14" x14ac:dyDescent="0.3">
      <c r="A203" s="76" t="s">
        <v>232</v>
      </c>
      <c r="B203" s="74">
        <f t="shared" ref="B203:I203" si="149">+IFERROR(B201/B$199,"nm")</f>
        <v>12.463414634146341</v>
      </c>
      <c r="C203" s="74">
        <f t="shared" si="149"/>
        <v>12.662790697674419</v>
      </c>
      <c r="D203" s="74">
        <f t="shared" si="149"/>
        <v>-8.5333333333333332</v>
      </c>
      <c r="E203" s="74">
        <f t="shared" si="149"/>
        <v>-51.769230769230766</v>
      </c>
      <c r="F203" s="74">
        <f t="shared" si="149"/>
        <v>242</v>
      </c>
      <c r="G203" s="74">
        <f t="shared" si="149"/>
        <v>168.63636363636363</v>
      </c>
      <c r="H203" s="74">
        <f t="shared" si="149"/>
        <v>-53</v>
      </c>
      <c r="I203" s="74">
        <f t="shared" si="149"/>
        <v>28.958333333333332</v>
      </c>
      <c r="J203" s="70">
        <f>+I203</f>
        <v>28.958333333333332</v>
      </c>
      <c r="K203" s="70">
        <f>+J203</f>
        <v>28.958333333333332</v>
      </c>
      <c r="L203" s="70">
        <f>+K203</f>
        <v>28.958333333333332</v>
      </c>
      <c r="M203" s="70">
        <f>+L203</f>
        <v>28.958333333333332</v>
      </c>
      <c r="N203" s="70">
        <f>+M203</f>
        <v>28.958333333333332</v>
      </c>
    </row>
    <row r="204" spans="1:14" x14ac:dyDescent="0.3">
      <c r="A204" s="72" t="s">
        <v>233</v>
      </c>
      <c r="B204" s="72">
        <f>+'Historicals (2)'!B178</f>
        <v>75</v>
      </c>
      <c r="C204" s="72">
        <f>+'Historicals (2)'!C178</f>
        <v>84</v>
      </c>
      <c r="D204" s="72">
        <f>+'Historicals (2)'!C178</f>
        <v>84</v>
      </c>
      <c r="E204" s="72">
        <f>+'Historicals (2)'!E178</f>
        <v>110</v>
      </c>
      <c r="F204" s="72">
        <f>+'Historicals (2)'!F178</f>
        <v>116</v>
      </c>
      <c r="G204" s="72">
        <f>+'Historicals (2)'!G178</f>
        <v>112</v>
      </c>
      <c r="H204" s="72">
        <f>+'Historicals (2)'!H178</f>
        <v>141</v>
      </c>
      <c r="I204" s="72">
        <f>+'Historicals (2)'!I178</f>
        <v>134</v>
      </c>
      <c r="J204" s="58">
        <f>+J207*J214</f>
        <v>134</v>
      </c>
      <c r="K204" s="58">
        <f>+K207*K214</f>
        <v>134</v>
      </c>
      <c r="L204" s="58">
        <f>+L207*L214</f>
        <v>134</v>
      </c>
      <c r="M204" s="58">
        <f>+M207*M214</f>
        <v>134</v>
      </c>
      <c r="N204" s="58">
        <f>+N207*N214</f>
        <v>134</v>
      </c>
    </row>
    <row r="205" spans="1:14" x14ac:dyDescent="0.3">
      <c r="A205" s="76" t="s">
        <v>225</v>
      </c>
      <c r="B205" s="74" t="str">
        <f t="shared" ref="B205:N205" si="150">+IFERROR(B204/A204-1,"nm")</f>
        <v>nm</v>
      </c>
      <c r="C205" s="74">
        <f t="shared" si="150"/>
        <v>0.12000000000000011</v>
      </c>
      <c r="D205" s="74">
        <f t="shared" si="150"/>
        <v>0</v>
      </c>
      <c r="E205" s="74">
        <f t="shared" si="150"/>
        <v>0.30952380952380953</v>
      </c>
      <c r="F205" s="74">
        <f t="shared" si="150"/>
        <v>5.4545454545454453E-2</v>
      </c>
      <c r="G205" s="74">
        <f t="shared" si="150"/>
        <v>-3.4482758620689613E-2</v>
      </c>
      <c r="H205" s="74">
        <f t="shared" si="150"/>
        <v>0.2589285714285714</v>
      </c>
      <c r="I205" s="74">
        <f t="shared" si="150"/>
        <v>-4.9645390070921946E-2</v>
      </c>
      <c r="J205" s="70">
        <f t="shared" si="150"/>
        <v>0</v>
      </c>
      <c r="K205" s="70">
        <f t="shared" si="150"/>
        <v>0</v>
      </c>
      <c r="L205" s="70">
        <f t="shared" si="150"/>
        <v>0</v>
      </c>
      <c r="M205" s="70">
        <f t="shared" si="150"/>
        <v>0</v>
      </c>
      <c r="N205" s="70">
        <f t="shared" si="150"/>
        <v>0</v>
      </c>
    </row>
    <row r="206" spans="1:14" x14ac:dyDescent="0.3">
      <c r="A206" s="76" t="s">
        <v>234</v>
      </c>
      <c r="B206" s="74">
        <f t="shared" ref="B206:I206" si="151">+IFERROR(B204/B$199,"nm")</f>
        <v>-0.91463414634146345</v>
      </c>
      <c r="C206" s="74">
        <f t="shared" si="151"/>
        <v>-0.97674418604651159</v>
      </c>
      <c r="D206" s="74">
        <f t="shared" si="151"/>
        <v>1.1200000000000001</v>
      </c>
      <c r="E206" s="74">
        <f t="shared" si="151"/>
        <v>4.2307692307692308</v>
      </c>
      <c r="F206" s="74">
        <f t="shared" si="151"/>
        <v>-16.571428571428573</v>
      </c>
      <c r="G206" s="74">
        <f t="shared" si="151"/>
        <v>-10.181818181818182</v>
      </c>
      <c r="H206" s="74">
        <f t="shared" si="151"/>
        <v>3.5249999999999999</v>
      </c>
      <c r="I206" s="74">
        <f t="shared" si="151"/>
        <v>-1.8611111111111112</v>
      </c>
      <c r="J206" s="70">
        <f>+IFERROR(J204/J$21,"nm")</f>
        <v>7.007987013258693E-3</v>
      </c>
      <c r="K206" s="70">
        <f>+IFERROR(K204/K$21,"nm")</f>
        <v>6.7204519481867996E-3</v>
      </c>
      <c r="L206" s="70">
        <f>+IFERROR(L204/L$21,"nm")</f>
        <v>6.4381704694871722E-3</v>
      </c>
      <c r="M206" s="70">
        <f>+IFERROR(M204/M$21,"nm")</f>
        <v>6.1606728715107376E-3</v>
      </c>
      <c r="N206" s="70">
        <f>+IFERROR(N204/N$21,"nm")</f>
        <v>5.8875094789323963E-3</v>
      </c>
    </row>
    <row r="207" spans="1:14" x14ac:dyDescent="0.3">
      <c r="A207" s="76" t="s">
        <v>140</v>
      </c>
      <c r="B207" s="74">
        <f t="shared" ref="B207:I207" si="152">+IFERROR(B204/B214,"nm")</f>
        <v>0.10518934081346423</v>
      </c>
      <c r="C207" s="74">
        <f t="shared" si="152"/>
        <v>8.9647812166488788E-2</v>
      </c>
      <c r="D207" s="74">
        <f t="shared" si="152"/>
        <v>6.7851373182552507E-2</v>
      </c>
      <c r="E207" s="74">
        <f t="shared" si="152"/>
        <v>7.586206896551724E-2</v>
      </c>
      <c r="F207" s="74">
        <f t="shared" si="152"/>
        <v>6.9336521219366412E-2</v>
      </c>
      <c r="G207" s="74">
        <f t="shared" si="152"/>
        <v>5.7851239669421489E-2</v>
      </c>
      <c r="H207" s="74">
        <f t="shared" si="152"/>
        <v>7.5401069518716571E-2</v>
      </c>
      <c r="I207" s="74">
        <f t="shared" si="152"/>
        <v>7.374793615850303E-2</v>
      </c>
      <c r="J207" s="70">
        <f>+I207</f>
        <v>7.374793615850303E-2</v>
      </c>
      <c r="K207" s="70">
        <f>+J207</f>
        <v>7.374793615850303E-2</v>
      </c>
      <c r="L207" s="70">
        <f>+K207</f>
        <v>7.374793615850303E-2</v>
      </c>
      <c r="M207" s="70">
        <f>+L207</f>
        <v>7.374793615850303E-2</v>
      </c>
      <c r="N207" s="70">
        <f>+M207</f>
        <v>7.374793615850303E-2</v>
      </c>
    </row>
    <row r="208" spans="1:14" x14ac:dyDescent="0.3">
      <c r="A208" s="72" t="s">
        <v>235</v>
      </c>
      <c r="B208" s="72">
        <f>+'Historicals (2)'!B145</f>
        <v>-1097</v>
      </c>
      <c r="C208" s="72">
        <f>+'Historicals (2)'!C145</f>
        <v>-1173</v>
      </c>
      <c r="D208" s="72">
        <f>+'Historicals (2)'!D145</f>
        <v>-724</v>
      </c>
      <c r="E208" s="72">
        <f>+'Historicals (2)'!E145</f>
        <v>-1456</v>
      </c>
      <c r="F208" s="72">
        <f>+'Historicals (2)'!F145</f>
        <v>-1810</v>
      </c>
      <c r="G208" s="72">
        <f>+'Historicals (2)'!G145</f>
        <v>-1967</v>
      </c>
      <c r="H208" s="72">
        <f>+'Historicals (2)'!H145</f>
        <v>-2261</v>
      </c>
      <c r="I208" s="72">
        <f>+'Historicals (2)'!I145</f>
        <v>-2219</v>
      </c>
      <c r="J208" s="58">
        <f>+J201+J204</f>
        <v>-1951</v>
      </c>
      <c r="K208" s="58">
        <f>+K201+K204</f>
        <v>-1951</v>
      </c>
      <c r="L208" s="58">
        <f>+L201+L204</f>
        <v>-1951</v>
      </c>
      <c r="M208" s="58">
        <f>+M201+M204</f>
        <v>-1951</v>
      </c>
      <c r="N208" s="58">
        <f>+N201+N204</f>
        <v>-1951</v>
      </c>
    </row>
    <row r="209" spans="1:14" x14ac:dyDescent="0.3">
      <c r="A209" s="76" t="s">
        <v>225</v>
      </c>
      <c r="B209" s="74" t="str">
        <f t="shared" ref="B209:N209" si="153">+IFERROR(B208/A208-1,"nm")</f>
        <v>nm</v>
      </c>
      <c r="C209" s="74">
        <f t="shared" si="153"/>
        <v>6.9279854147675568E-2</v>
      </c>
      <c r="D209" s="74">
        <f t="shared" si="153"/>
        <v>-0.38277919863597609</v>
      </c>
      <c r="E209" s="74">
        <f t="shared" si="153"/>
        <v>1.0110497237569063</v>
      </c>
      <c r="F209" s="74">
        <f t="shared" si="153"/>
        <v>0.24313186813186816</v>
      </c>
      <c r="G209" s="74">
        <f t="shared" si="153"/>
        <v>8.6740331491712785E-2</v>
      </c>
      <c r="H209" s="74">
        <f t="shared" si="153"/>
        <v>0.14946619217081847</v>
      </c>
      <c r="I209" s="74">
        <f t="shared" si="153"/>
        <v>-1.8575851393188847E-2</v>
      </c>
      <c r="J209" s="70">
        <f t="shared" si="153"/>
        <v>-0.12077512392969803</v>
      </c>
      <c r="K209" s="70">
        <f t="shared" si="153"/>
        <v>0</v>
      </c>
      <c r="L209" s="70">
        <f t="shared" si="153"/>
        <v>0</v>
      </c>
      <c r="M209" s="70">
        <f t="shared" si="153"/>
        <v>0</v>
      </c>
      <c r="N209" s="70">
        <f t="shared" si="153"/>
        <v>0</v>
      </c>
    </row>
    <row r="210" spans="1:14" x14ac:dyDescent="0.3">
      <c r="A210" s="76" t="s">
        <v>232</v>
      </c>
      <c r="B210" s="74">
        <f t="shared" ref="B210:I210" si="154">+IFERROR(B208/B$199,"nm")</f>
        <v>13.378048780487806</v>
      </c>
      <c r="C210" s="74">
        <f t="shared" si="154"/>
        <v>13.63953488372093</v>
      </c>
      <c r="D210" s="74">
        <f t="shared" si="154"/>
        <v>-9.6533333333333342</v>
      </c>
      <c r="E210" s="74">
        <f t="shared" si="154"/>
        <v>-56</v>
      </c>
      <c r="F210" s="74">
        <f t="shared" si="154"/>
        <v>258.57142857142856</v>
      </c>
      <c r="G210" s="74">
        <f t="shared" si="154"/>
        <v>178.81818181818181</v>
      </c>
      <c r="H210" s="74">
        <f t="shared" si="154"/>
        <v>-56.524999999999999</v>
      </c>
      <c r="I210" s="74">
        <f t="shared" si="154"/>
        <v>30.819444444444443</v>
      </c>
      <c r="J210" s="70">
        <f>+IFERROR(J208/J$21,"nm")</f>
        <v>-0.1020341989766247</v>
      </c>
      <c r="K210" s="70">
        <f>+IFERROR(K208/K$21,"nm")</f>
        <v>-9.7847774260540643E-2</v>
      </c>
      <c r="L210" s="70">
        <f>+IFERROR(L208/L$21,"nm")</f>
        <v>-9.3737840193802047E-2</v>
      </c>
      <c r="M210" s="70">
        <f>+IFERROR(M208/M$21,"nm")</f>
        <v>-8.9697558002369018E-2</v>
      </c>
      <c r="N210" s="70">
        <f>+IFERROR(N208/N$21,"nm")</f>
        <v>-8.5720380547739589E-2</v>
      </c>
    </row>
    <row r="211" spans="1:14" x14ac:dyDescent="0.3">
      <c r="A211" s="94" t="s">
        <v>236</v>
      </c>
      <c r="B211" s="72">
        <f>+'Historicals (2)'!B167</f>
        <v>104</v>
      </c>
      <c r="C211" s="72">
        <f>+'Historicals (2)'!C167</f>
        <v>264</v>
      </c>
      <c r="D211" s="72">
        <f>+'Historicals (2)'!D167</f>
        <v>291</v>
      </c>
      <c r="E211" s="72">
        <f>+'Historicals (2)'!E167</f>
        <v>159</v>
      </c>
      <c r="F211" s="72">
        <f>+'Historicals (2)'!F167</f>
        <v>377</v>
      </c>
      <c r="G211" s="72">
        <f>+'Historicals (2)'!G167</f>
        <v>318</v>
      </c>
      <c r="H211" s="72">
        <f>+'Historicals (2)'!H167</f>
        <v>11</v>
      </c>
      <c r="I211" s="72">
        <f>+'Historicals (2)'!I167</f>
        <v>50</v>
      </c>
      <c r="J211" s="58">
        <f>+J199*J213</f>
        <v>50</v>
      </c>
      <c r="K211" s="58">
        <f>+K199*K213</f>
        <v>50</v>
      </c>
      <c r="L211" s="58">
        <f>+L199*L213</f>
        <v>50</v>
      </c>
      <c r="M211" s="58">
        <f>+M199*M213</f>
        <v>50</v>
      </c>
      <c r="N211" s="58">
        <f>+N199*N213</f>
        <v>50</v>
      </c>
    </row>
    <row r="212" spans="1:14" x14ac:dyDescent="0.3">
      <c r="A212" s="76" t="s">
        <v>225</v>
      </c>
      <c r="B212" s="74" t="str">
        <f t="shared" ref="B212:I212" si="155">+IFERROR(B211/A211-1,"nm")</f>
        <v>nm</v>
      </c>
      <c r="C212" s="74">
        <f t="shared" si="155"/>
        <v>1.5384615384615383</v>
      </c>
      <c r="D212" s="74">
        <f t="shared" si="155"/>
        <v>0.10227272727272729</v>
      </c>
      <c r="E212" s="74">
        <f t="shared" si="155"/>
        <v>-0.45360824742268047</v>
      </c>
      <c r="F212" s="74">
        <f t="shared" si="155"/>
        <v>1.3710691823899372</v>
      </c>
      <c r="G212" s="74">
        <f t="shared" si="155"/>
        <v>-0.156498673740053</v>
      </c>
      <c r="H212" s="74">
        <f t="shared" si="155"/>
        <v>-0.96540880503144655</v>
      </c>
      <c r="I212" s="74">
        <f t="shared" si="155"/>
        <v>3.5454545454545459</v>
      </c>
      <c r="J212" s="70">
        <v>0</v>
      </c>
      <c r="K212" s="70">
        <f>+IFERROR(K211/J211-1,"nm")</f>
        <v>0</v>
      </c>
      <c r="L212" s="70">
        <f>+IFERROR(L211/K211-1,"nm")</f>
        <v>0</v>
      </c>
      <c r="M212" s="70">
        <f>+IFERROR(M211/L211-1,"nm")</f>
        <v>0</v>
      </c>
      <c r="N212" s="70">
        <f>+IFERROR(N211/M211-1,"nm")</f>
        <v>0</v>
      </c>
    </row>
    <row r="213" spans="1:14" x14ac:dyDescent="0.3">
      <c r="A213" s="76" t="s">
        <v>234</v>
      </c>
      <c r="B213" s="74">
        <f t="shared" ref="B213:I213" si="156">+IFERROR(B211/B$199,"nm")</f>
        <v>-1.2682926829268293</v>
      </c>
      <c r="C213" s="74">
        <f t="shared" si="156"/>
        <v>-3.0697674418604652</v>
      </c>
      <c r="D213" s="74">
        <f t="shared" si="156"/>
        <v>3.88</v>
      </c>
      <c r="E213" s="74">
        <f t="shared" si="156"/>
        <v>6.115384615384615</v>
      </c>
      <c r="F213" s="74">
        <f t="shared" si="156"/>
        <v>-53.857142857142854</v>
      </c>
      <c r="G213" s="74">
        <f t="shared" si="156"/>
        <v>-28.90909090909091</v>
      </c>
      <c r="H213" s="74">
        <f t="shared" si="156"/>
        <v>0.27500000000000002</v>
      </c>
      <c r="I213" s="74">
        <f t="shared" si="156"/>
        <v>-0.69444444444444442</v>
      </c>
      <c r="J213" s="70">
        <f>+I213</f>
        <v>-0.69444444444444442</v>
      </c>
      <c r="K213" s="70">
        <f>+J213</f>
        <v>-0.69444444444444442</v>
      </c>
      <c r="L213" s="70">
        <f>+K213</f>
        <v>-0.69444444444444442</v>
      </c>
      <c r="M213" s="70">
        <f>+L213</f>
        <v>-0.69444444444444442</v>
      </c>
      <c r="N213" s="70">
        <f>+M213</f>
        <v>-0.69444444444444442</v>
      </c>
    </row>
    <row r="214" spans="1:14" x14ac:dyDescent="0.3">
      <c r="A214" s="58" t="s">
        <v>141</v>
      </c>
      <c r="B214" s="58">
        <f>+'Historicals (2)'!B156</f>
        <v>713</v>
      </c>
      <c r="C214" s="58">
        <f>+'Historicals (2)'!C156</f>
        <v>937</v>
      </c>
      <c r="D214" s="58">
        <f>+'Historicals (2)'!D156</f>
        <v>1238</v>
      </c>
      <c r="E214" s="58">
        <f>+'Historicals (2)'!E156</f>
        <v>1450</v>
      </c>
      <c r="F214" s="58">
        <f>+'Historicals (2)'!F156</f>
        <v>1673</v>
      </c>
      <c r="G214" s="58">
        <f>+'Historicals (2)'!G156</f>
        <v>1936</v>
      </c>
      <c r="H214">
        <f>+'Historicals (2)'!H156</f>
        <v>1870</v>
      </c>
      <c r="I214">
        <f>+'Historicals (2)'!I156</f>
        <v>1817</v>
      </c>
      <c r="J214" s="58">
        <f>+J199*J216</f>
        <v>1817</v>
      </c>
      <c r="K214" s="58">
        <f>+K199*K216</f>
        <v>1817</v>
      </c>
      <c r="L214" s="58">
        <f>+L199*L216</f>
        <v>1817</v>
      </c>
      <c r="M214" s="58">
        <f>+M199*M216</f>
        <v>1817</v>
      </c>
      <c r="N214" s="58">
        <f>+N199*N216</f>
        <v>1817</v>
      </c>
    </row>
    <row r="215" spans="1:14" x14ac:dyDescent="0.3">
      <c r="A215" s="58" t="s">
        <v>129</v>
      </c>
      <c r="B215" s="70" t="str">
        <f t="shared" ref="B215:I215" si="157">+IFERROR(B214/A214-1,"nm")</f>
        <v>nm</v>
      </c>
      <c r="C215" s="70">
        <f t="shared" si="157"/>
        <v>0.31416549789621318</v>
      </c>
      <c r="D215" s="70">
        <f t="shared" si="157"/>
        <v>0.32123799359658478</v>
      </c>
      <c r="E215" s="70">
        <f t="shared" si="157"/>
        <v>0.17124394184168024</v>
      </c>
      <c r="F215" s="70">
        <f t="shared" si="157"/>
        <v>0.15379310344827579</v>
      </c>
      <c r="G215" s="70">
        <f t="shared" si="157"/>
        <v>0.15720263000597723</v>
      </c>
      <c r="H215" s="70">
        <f t="shared" si="157"/>
        <v>-3.4090909090909061E-2</v>
      </c>
      <c r="I215" s="70">
        <f t="shared" si="157"/>
        <v>-2.8342245989304793E-2</v>
      </c>
      <c r="J215" s="70">
        <f>+J216+J217</f>
        <v>-25.236111111111111</v>
      </c>
      <c r="K215" s="70">
        <f>+K216+K217</f>
        <v>-25.236111111111111</v>
      </c>
      <c r="L215" s="70">
        <f>+L216+L217</f>
        <v>-25.236111111111111</v>
      </c>
      <c r="M215" s="70">
        <f>+M216+M217</f>
        <v>-25.236111111111111</v>
      </c>
      <c r="N215" s="70">
        <f>+N216+N217</f>
        <v>-25.236111111111111</v>
      </c>
    </row>
    <row r="216" spans="1:14" x14ac:dyDescent="0.3">
      <c r="A216" s="58" t="s">
        <v>133</v>
      </c>
      <c r="B216" s="70">
        <f t="shared" ref="B216:I216" si="158">+IFERROR(B214/B$199,"nm")</f>
        <v>-8.6951219512195124</v>
      </c>
      <c r="C216" s="70">
        <f t="shared" si="158"/>
        <v>-10.895348837209303</v>
      </c>
      <c r="D216" s="70">
        <f t="shared" si="158"/>
        <v>16.506666666666668</v>
      </c>
      <c r="E216" s="70">
        <f t="shared" si="158"/>
        <v>55.769230769230766</v>
      </c>
      <c r="F216" s="70">
        <f t="shared" si="158"/>
        <v>-239</v>
      </c>
      <c r="G216" s="70">
        <f t="shared" si="158"/>
        <v>-176</v>
      </c>
      <c r="H216" s="70">
        <f t="shared" si="158"/>
        <v>46.75</v>
      </c>
      <c r="I216" s="70">
        <f t="shared" si="158"/>
        <v>-25.236111111111111</v>
      </c>
      <c r="J216" s="70">
        <f>+I216</f>
        <v>-25.236111111111111</v>
      </c>
      <c r="K216" s="70">
        <f>+J216</f>
        <v>-25.236111111111111</v>
      </c>
      <c r="L216" s="70">
        <f>+K216</f>
        <v>-25.236111111111111</v>
      </c>
      <c r="M216" s="70">
        <f>+L216</f>
        <v>-25.236111111111111</v>
      </c>
      <c r="N216" s="70">
        <f>+M216</f>
        <v>-25.236111111111111</v>
      </c>
    </row>
  </sheetData>
  <autoFilter ref="A1:N216" xr:uid="{5768C998-4874-45CF-AC07-F87372850E0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A4E66-3D71-4183-BCAA-124E620AB42A}">
  <dimension ref="A1:AS72"/>
  <sheetViews>
    <sheetView tabSelected="1" zoomScale="89" workbookViewId="0">
      <pane xSplit="1" ySplit="1" topLeftCell="B50" activePane="bottomRight" state="frozen"/>
      <selection activeCell="A163" sqref="A163"/>
      <selection pane="topRight" activeCell="A163" sqref="A163"/>
      <selection pane="bottomLeft" activeCell="A163" sqref="A163"/>
      <selection pane="bottomRight" activeCell="O62" sqref="O62"/>
    </sheetView>
  </sheetViews>
  <sheetFormatPr defaultColWidth="8.88671875" defaultRowHeight="14.4" x14ac:dyDescent="0.3"/>
  <cols>
    <col min="1" max="1" width="28.21875" customWidth="1"/>
    <col min="2" max="14" width="11.88671875" customWidth="1"/>
    <col min="15" max="15" width="39.88671875" customWidth="1"/>
    <col min="16" max="19" width="9.109375" bestFit="1" customWidth="1"/>
    <col min="20" max="20" width="10.109375" bestFit="1" customWidth="1"/>
    <col min="41" max="45" width="0" hidden="1" customWidth="1"/>
  </cols>
  <sheetData>
    <row r="1" spans="1:15" ht="60" customHeight="1" x14ac:dyDescent="0.4">
      <c r="A1" s="15" t="s">
        <v>116</v>
      </c>
      <c r="B1" s="16">
        <f t="shared" ref="B1:H1" si="0">+C1-1</f>
        <v>2015</v>
      </c>
      <c r="C1" s="16">
        <f t="shared" si="0"/>
        <v>2016</v>
      </c>
      <c r="D1" s="16">
        <f t="shared" si="0"/>
        <v>2017</v>
      </c>
      <c r="E1" s="16">
        <f t="shared" si="0"/>
        <v>2018</v>
      </c>
      <c r="F1" s="16">
        <f t="shared" si="0"/>
        <v>2019</v>
      </c>
      <c r="G1" s="16">
        <f t="shared" si="0"/>
        <v>2020</v>
      </c>
      <c r="H1" s="16">
        <f t="shared" si="0"/>
        <v>2021</v>
      </c>
      <c r="I1" s="16">
        <v>2022</v>
      </c>
      <c r="J1" s="37">
        <f>+I1+1</f>
        <v>2023</v>
      </c>
      <c r="K1" s="37">
        <f>+J1+1</f>
        <v>2024</v>
      </c>
      <c r="L1" s="37">
        <f>+K1+1</f>
        <v>2025</v>
      </c>
      <c r="M1" s="37">
        <f>+L1+1</f>
        <v>2026</v>
      </c>
      <c r="N1" s="37">
        <f>+M1+1</f>
        <v>2027</v>
      </c>
      <c r="O1" s="62" t="s">
        <v>216</v>
      </c>
    </row>
    <row r="2" spans="1:15" x14ac:dyDescent="0.3">
      <c r="A2" s="38" t="s">
        <v>149</v>
      </c>
      <c r="B2" s="38"/>
      <c r="C2" s="38"/>
      <c r="D2" s="38"/>
      <c r="E2" s="38"/>
      <c r="F2" s="38"/>
      <c r="G2" s="38"/>
      <c r="H2" s="38"/>
      <c r="I2" s="38"/>
      <c r="J2" s="37"/>
      <c r="K2" s="37"/>
      <c r="L2" s="37"/>
      <c r="M2" s="37"/>
      <c r="N2" s="37"/>
    </row>
    <row r="3" spans="1:15" x14ac:dyDescent="0.3">
      <c r="A3" s="1" t="s">
        <v>136</v>
      </c>
      <c r="B3" s="9">
        <f>'Segmental forecast (2)'!$B$3</f>
        <v>57362</v>
      </c>
      <c r="C3" s="9">
        <f>'Segmental forecast (2)'!$C$3</f>
        <v>64032</v>
      </c>
      <c r="D3" s="9">
        <f>'Segmental forecast (2)'!$D$3</f>
        <v>64468</v>
      </c>
      <c r="E3" s="9">
        <f>'Segmental forecast (2)'!$E$3</f>
        <v>69011</v>
      </c>
      <c r="F3" s="9">
        <f>'Segmental forecast (2)'!$F$3</f>
        <v>74493</v>
      </c>
      <c r="G3" s="9">
        <f>'Segmental forecast (2)'!$G$3</f>
        <v>71507</v>
      </c>
      <c r="H3" s="9">
        <f>'Segmental forecast (2)'!$H$3</f>
        <v>44538</v>
      </c>
      <c r="I3" s="9">
        <f>'Segmental forecast (2)'!$I$3</f>
        <v>46710</v>
      </c>
      <c r="J3" s="9">
        <f>+AVERAGE(E3:I3)</f>
        <v>61251.8</v>
      </c>
      <c r="K3" s="9">
        <f t="shared" ref="K3:N3" si="1">+AVERAGE(F3:J3)</f>
        <v>59699.96</v>
      </c>
      <c r="L3" s="9">
        <f t="shared" si="1"/>
        <v>56741.351999999999</v>
      </c>
      <c r="M3" s="9">
        <f>+AVERAGE(H3:L3)</f>
        <v>53788.222399999991</v>
      </c>
      <c r="N3" s="9">
        <f t="shared" si="1"/>
        <v>55638.266879999996</v>
      </c>
      <c r="O3" t="s">
        <v>239</v>
      </c>
    </row>
    <row r="4" spans="1:15" x14ac:dyDescent="0.3">
      <c r="A4" s="40" t="s">
        <v>129</v>
      </c>
      <c r="B4" s="48" t="str">
        <f>'Segmental forecast (2)'!$B$4</f>
        <v>nm</v>
      </c>
      <c r="C4" s="48">
        <f t="shared" ref="C4:I4" si="2">+IFERROR(C3/B3-1,"nm")</f>
        <v>0.11627906976744184</v>
      </c>
      <c r="D4" s="48">
        <f t="shared" si="2"/>
        <v>6.8090954522739278E-3</v>
      </c>
      <c r="E4" s="48">
        <f t="shared" si="2"/>
        <v>7.0469069926164973E-2</v>
      </c>
      <c r="F4" s="48">
        <f t="shared" si="2"/>
        <v>7.9436611554679626E-2</v>
      </c>
      <c r="G4" s="48">
        <f t="shared" si="2"/>
        <v>-4.008430322312162E-2</v>
      </c>
      <c r="H4" s="48">
        <f t="shared" si="2"/>
        <v>-0.37715188722782389</v>
      </c>
      <c r="I4" s="48">
        <f t="shared" si="2"/>
        <v>4.8767344739323759E-2</v>
      </c>
      <c r="J4" s="48">
        <f>+J3/I3-1</f>
        <v>0.31132091629201453</v>
      </c>
      <c r="K4" s="48">
        <f t="shared" ref="K4:N4" si="3">+K3/J3-1</f>
        <v>-2.5335418714225622E-2</v>
      </c>
      <c r="L4" s="48">
        <f t="shared" si="3"/>
        <v>-4.9557956152734395E-2</v>
      </c>
      <c r="M4" s="48">
        <f t="shared" si="3"/>
        <v>-5.2045457076877688E-2</v>
      </c>
      <c r="N4" s="48">
        <f t="shared" si="3"/>
        <v>3.4394973424516806E-2</v>
      </c>
    </row>
    <row r="5" spans="1:15" x14ac:dyDescent="0.3">
      <c r="A5" s="1" t="s">
        <v>150</v>
      </c>
      <c r="B5" s="9">
        <f>'Segmental forecast (2)'!$B$5</f>
        <v>4839</v>
      </c>
      <c r="C5" s="9">
        <f>'Segmental forecast (2)'!$C$5</f>
        <v>5291</v>
      </c>
      <c r="D5" s="9">
        <f>'Segmental forecast (2)'!$D$5</f>
        <v>5644</v>
      </c>
      <c r="E5" s="9">
        <f>'Segmental forecast (2)'!$E$5</f>
        <v>5126</v>
      </c>
      <c r="F5" s="9">
        <f>'Segmental forecast (2)'!$F$5</f>
        <v>5555</v>
      </c>
      <c r="G5" s="9">
        <f>'Segmental forecast (2)'!$G$35</f>
        <v>3047</v>
      </c>
      <c r="H5" s="9">
        <f>'Segmental forecast (2)'!$H$5</f>
        <v>7667</v>
      </c>
      <c r="I5" s="9">
        <f>'Segmental forecast (2)'!$I$5</f>
        <v>7573</v>
      </c>
      <c r="J5" s="9">
        <f>AVERAGE(E5:I5)</f>
        <v>5793.6</v>
      </c>
      <c r="K5" s="9">
        <f t="shared" ref="K5:N7" si="4">AVERAGE(F5:J5)</f>
        <v>5927.12</v>
      </c>
      <c r="L5" s="9">
        <f t="shared" si="4"/>
        <v>6001.5439999999999</v>
      </c>
      <c r="M5" s="9">
        <f t="shared" si="4"/>
        <v>6592.4527999999991</v>
      </c>
      <c r="N5" s="9">
        <f t="shared" si="4"/>
        <v>6377.5433600000006</v>
      </c>
    </row>
    <row r="6" spans="1:15" x14ac:dyDescent="0.3">
      <c r="A6" s="49" t="s">
        <v>132</v>
      </c>
      <c r="B6" s="50">
        <f>'Segmental forecast (2)'!$B$8</f>
        <v>606</v>
      </c>
      <c r="C6" s="50">
        <f>'Segmental forecast (2)'!$C$8</f>
        <v>649</v>
      </c>
      <c r="D6" s="50">
        <f>'Segmental forecast (2)'!$D$8</f>
        <v>699</v>
      </c>
      <c r="E6" s="50">
        <f>'Segmental forecast (2)'!$E$8</f>
        <v>747</v>
      </c>
      <c r="F6" s="50">
        <f>'Segmental forecast (2)'!$F$8</f>
        <v>705</v>
      </c>
      <c r="G6" s="50">
        <f>'Segmental forecast (2)'!$G$8</f>
        <v>721</v>
      </c>
      <c r="H6" s="50">
        <f>'Segmental forecast (2)'!$H$8</f>
        <v>744</v>
      </c>
      <c r="I6" s="50">
        <f>'Segmental forecast (2)'!$I$8</f>
        <v>717</v>
      </c>
      <c r="J6" s="50">
        <f>AVERAGE(E6:I6)</f>
        <v>726.8</v>
      </c>
      <c r="K6" s="50">
        <f t="shared" si="4"/>
        <v>722.76</v>
      </c>
      <c r="L6" s="50">
        <f t="shared" si="4"/>
        <v>726.31200000000013</v>
      </c>
      <c r="M6" s="50">
        <f t="shared" si="4"/>
        <v>727.37440000000004</v>
      </c>
      <c r="N6" s="50">
        <f t="shared" si="4"/>
        <v>724.04928000000007</v>
      </c>
    </row>
    <row r="7" spans="1:15" x14ac:dyDescent="0.3">
      <c r="A7" s="4" t="s">
        <v>134</v>
      </c>
      <c r="B7" s="5">
        <f>'Segmental forecast (2)'!$B$11</f>
        <v>4233</v>
      </c>
      <c r="C7" s="5">
        <f>'Segmental forecast (2)'!$C$11</f>
        <v>4642</v>
      </c>
      <c r="D7" s="5">
        <f>'Segmental forecast (2)'!$D$11</f>
        <v>4945</v>
      </c>
      <c r="E7" s="5">
        <f>'Segmental forecast (2)'!$E$11</f>
        <v>4379</v>
      </c>
      <c r="F7" s="5">
        <f>'Segmental forecast (2)'!$F$11</f>
        <v>4850</v>
      </c>
      <c r="G7" s="5">
        <f>'Segmental forecast (2)'!$G$11</f>
        <v>2976</v>
      </c>
      <c r="H7" s="5">
        <f>'Segmental forecast (2)'!$H$11</f>
        <v>6923</v>
      </c>
      <c r="I7" s="5">
        <f>'Segmental forecast (2)'!$I$11</f>
        <v>6856</v>
      </c>
      <c r="J7" s="5">
        <f>AVERAGE(E7:I7)</f>
        <v>5196.8</v>
      </c>
      <c r="K7" s="5">
        <f t="shared" si="4"/>
        <v>5360.36</v>
      </c>
      <c r="L7" s="5">
        <f t="shared" si="4"/>
        <v>5462.4319999999998</v>
      </c>
      <c r="M7" s="5">
        <f t="shared" si="4"/>
        <v>5959.7183999999997</v>
      </c>
      <c r="N7" s="5">
        <f t="shared" si="4"/>
        <v>5767.0620800000006</v>
      </c>
    </row>
    <row r="8" spans="1:15" x14ac:dyDescent="0.3">
      <c r="A8" s="40" t="s">
        <v>129</v>
      </c>
      <c r="B8" s="48" t="str">
        <f>'Segmental forecast (2)'!$B$12</f>
        <v>nm</v>
      </c>
      <c r="C8" s="48">
        <f>+IFERROR(C7/B7-1,"nm")</f>
        <v>9.6621781242617555E-2</v>
      </c>
      <c r="D8" s="48">
        <f>+IFERROR(D7/C7-1,"nm")</f>
        <v>6.5273588970271357E-2</v>
      </c>
      <c r="E8" s="48">
        <f>+IFERROR(E7/D7-1,"nm")</f>
        <v>-0.11445904954499497</v>
      </c>
      <c r="F8" s="48">
        <f>+IFERROR(F7/E7-1,"nm")</f>
        <v>0.10755880337976698</v>
      </c>
      <c r="G8" s="48">
        <f>+IFERROR(G7/H7-1,"nm")</f>
        <v>-0.57012855698396647</v>
      </c>
      <c r="H8" s="48">
        <f>+IFERROR(H7/G7-1,"nm")</f>
        <v>1.32627688172043</v>
      </c>
      <c r="I8" s="48">
        <f>+IFERROR(I7/H7-1,"nm")</f>
        <v>-9.67788530983682E-3</v>
      </c>
      <c r="J8" s="48">
        <f>I4</f>
        <v>4.8767344739323759E-2</v>
      </c>
      <c r="K8" s="48">
        <f>I4</f>
        <v>4.8767344739323759E-2</v>
      </c>
      <c r="L8" s="48">
        <f>I4</f>
        <v>4.8767344739323759E-2</v>
      </c>
      <c r="M8" s="48">
        <f>I4</f>
        <v>4.8767344739323759E-2</v>
      </c>
      <c r="N8" s="48">
        <f>I4</f>
        <v>4.8767344739323759E-2</v>
      </c>
    </row>
    <row r="9" spans="1:15" x14ac:dyDescent="0.3">
      <c r="A9" s="40" t="s">
        <v>131</v>
      </c>
      <c r="B9" s="48">
        <f>'Segmental forecast (2)'!$B$13</f>
        <v>7.3794498099787317E-2</v>
      </c>
      <c r="C9" s="48">
        <f>'Segmental forecast (2)'!$C$13</f>
        <v>7.2495002498750627E-2</v>
      </c>
      <c r="D9" s="48">
        <f>'Segmental forecast (2)'!$D$13</f>
        <v>7.6704721722404917E-2</v>
      </c>
      <c r="E9" s="48">
        <f>'Segmental forecast (2)'!$E$13</f>
        <v>6.3453652316297404E-2</v>
      </c>
      <c r="F9" s="48">
        <f>'Segmental forecast (2)'!$F$13</f>
        <v>6.510678855731411E-2</v>
      </c>
      <c r="G9" s="48">
        <f>'Segmental forecast (2)'!$G$13</f>
        <v>4.1618303103192693E-2</v>
      </c>
      <c r="H9" s="48">
        <f>'Segmental forecast (2)'!$H$13</f>
        <v>0.1554402981723472</v>
      </c>
      <c r="I9" s="48">
        <f>'Segmental forecast (2)'!$I$13</f>
        <v>0.14677799186469706</v>
      </c>
      <c r="J9" s="48">
        <f>'Segmental forecast (2)'!J13</f>
        <v>0.12810473798717636</v>
      </c>
      <c r="K9" s="48">
        <f>'Segmental forecast (2)'!K13</f>
        <v>0.1272475426854891</v>
      </c>
      <c r="L9" s="48">
        <f>'Segmental forecast (2)'!L13</f>
        <v>0.12671388355646607</v>
      </c>
      <c r="M9" s="48">
        <f>'Segmental forecast (2)'!M13</f>
        <v>0.12648425380128275</v>
      </c>
      <c r="N9" s="48">
        <f>'Segmental forecast (2)'!N13</f>
        <v>0.12653634133037725</v>
      </c>
    </row>
    <row r="10" spans="1:15" x14ac:dyDescent="0.3">
      <c r="A10" s="2" t="s">
        <v>24</v>
      </c>
      <c r="B10" s="3">
        <f>'Historicals (2)'!$B$8</f>
        <v>28</v>
      </c>
      <c r="C10" s="3">
        <f>'Historicals (2)'!$C$8</f>
        <v>19</v>
      </c>
      <c r="D10" s="3">
        <f>'Historicals (2)'!$D$8</f>
        <v>59</v>
      </c>
      <c r="E10" s="3">
        <f>'Historicals (2)'!$E$8</f>
        <v>54</v>
      </c>
      <c r="F10" s="3">
        <f>'Historicals (2)'!$F$8</f>
        <v>49</v>
      </c>
      <c r="G10" s="3">
        <f>'Historicals (2)'!$G$8</f>
        <v>89</v>
      </c>
      <c r="H10" s="3">
        <f>'Historicals (2)'!$H$8</f>
        <v>262</v>
      </c>
      <c r="I10" s="3">
        <f>'Historicals (2)'!$I$8</f>
        <v>205</v>
      </c>
      <c r="J10" s="79">
        <f>+J50</f>
        <v>-76.14</v>
      </c>
      <c r="K10" s="79">
        <f t="shared" ref="K10:N10" si="5">+K50</f>
        <v>420.55373104709901</v>
      </c>
      <c r="L10" s="79">
        <f t="shared" si="5"/>
        <v>687.14796225308726</v>
      </c>
      <c r="M10" s="79">
        <f t="shared" si="5"/>
        <v>1013.7355108885902</v>
      </c>
      <c r="N10" s="79">
        <f t="shared" si="5"/>
        <v>1298.9725728428502</v>
      </c>
    </row>
    <row r="11" spans="1:15" x14ac:dyDescent="0.3">
      <c r="A11" s="4" t="s">
        <v>151</v>
      </c>
      <c r="B11" s="5">
        <f>'Historicals (2)'!$B$10</f>
        <v>4205</v>
      </c>
      <c r="C11" s="5">
        <f>'Historicals (2)'!$C$10</f>
        <v>4623</v>
      </c>
      <c r="D11" s="5">
        <f>'Historicals (2)'!$C$10</f>
        <v>4623</v>
      </c>
      <c r="E11" s="5">
        <f>'Historicals (2)'!$E$10</f>
        <v>4325</v>
      </c>
      <c r="F11" s="5">
        <f>'Historicals (2)'!$F$10</f>
        <v>4801</v>
      </c>
      <c r="G11" s="5">
        <f>'Historicals (2)'!$G$10</f>
        <v>2887</v>
      </c>
      <c r="H11" s="5">
        <f>'Historicals (2)'!$H$10</f>
        <v>6661</v>
      </c>
      <c r="I11" s="5">
        <f>'Historicals (2)'!$I$10</f>
        <v>6651</v>
      </c>
      <c r="J11" s="5">
        <f>J7-J10</f>
        <v>5272.9400000000005</v>
      </c>
      <c r="K11" s="5">
        <f t="shared" ref="K11:N11" si="6">K7-K10</f>
        <v>4939.8062689529006</v>
      </c>
      <c r="L11" s="5">
        <f t="shared" si="6"/>
        <v>4775.2840377469129</v>
      </c>
      <c r="M11" s="5">
        <f t="shared" si="6"/>
        <v>4945.9828891114093</v>
      </c>
      <c r="N11" s="5">
        <f t="shared" si="6"/>
        <v>4468.0895071571504</v>
      </c>
    </row>
    <row r="12" spans="1:15" x14ac:dyDescent="0.3">
      <c r="A12" t="s">
        <v>26</v>
      </c>
      <c r="B12" s="3">
        <f>'Historicals (2)'!$B$11</f>
        <v>932</v>
      </c>
      <c r="C12" s="3">
        <f>'Historicals (2)'!$C$11</f>
        <v>863</v>
      </c>
      <c r="D12" s="3">
        <f>'Historicals (2)'!$C$11</f>
        <v>863</v>
      </c>
      <c r="E12" s="3">
        <f>'Historicals (2)'!$E$11</f>
        <v>2392</v>
      </c>
      <c r="F12" s="3">
        <f>'Historicals (2)'!$F$11</f>
        <v>772</v>
      </c>
      <c r="G12" s="3">
        <f>'Historicals (2)'!$G$11</f>
        <v>348</v>
      </c>
      <c r="H12" s="3">
        <f>'Historicals (2)'!$H$11</f>
        <v>934</v>
      </c>
      <c r="I12" s="3">
        <f>'Historicals (2)'!$I$11</f>
        <v>605</v>
      </c>
      <c r="J12" s="86">
        <f>+J11*J13</f>
        <v>685.48220000000003</v>
      </c>
      <c r="K12" s="86">
        <f t="shared" ref="K12:N12" si="7">+K11*K13</f>
        <v>642.17481496387711</v>
      </c>
      <c r="L12" s="86">
        <f t="shared" si="7"/>
        <v>620.78692490709875</v>
      </c>
      <c r="M12" s="86">
        <f t="shared" si="7"/>
        <v>642.9777755844832</v>
      </c>
      <c r="N12" s="86">
        <f t="shared" si="7"/>
        <v>580.85163593042955</v>
      </c>
      <c r="O12" s="88" t="s">
        <v>242</v>
      </c>
    </row>
    <row r="13" spans="1:15" x14ac:dyDescent="0.3">
      <c r="A13" s="51" t="s">
        <v>152</v>
      </c>
      <c r="B13" s="52">
        <f t="shared" ref="B13:I13" si="8">B12/B11</f>
        <v>0.22164090368608799</v>
      </c>
      <c r="C13" s="52">
        <f t="shared" si="8"/>
        <v>0.18667531905688947</v>
      </c>
      <c r="D13" s="52">
        <f t="shared" si="8"/>
        <v>0.18667531905688947</v>
      </c>
      <c r="E13" s="52">
        <f t="shared" si="8"/>
        <v>0.55306358381502885</v>
      </c>
      <c r="F13" s="52">
        <f t="shared" si="8"/>
        <v>0.16079983336804832</v>
      </c>
      <c r="G13" s="52">
        <f t="shared" si="8"/>
        <v>0.12054035330793211</v>
      </c>
      <c r="H13" s="52">
        <f t="shared" si="8"/>
        <v>0.14021918630836211</v>
      </c>
      <c r="I13" s="52">
        <f t="shared" si="8"/>
        <v>9.0963764847391368E-2</v>
      </c>
      <c r="J13" s="52">
        <v>0.13</v>
      </c>
      <c r="K13" s="52">
        <f>J13</f>
        <v>0.13</v>
      </c>
      <c r="L13" s="52">
        <f t="shared" ref="L13:N13" si="9">K13</f>
        <v>0.13</v>
      </c>
      <c r="M13" s="52">
        <f t="shared" si="9"/>
        <v>0.13</v>
      </c>
      <c r="N13" s="52">
        <f t="shared" si="9"/>
        <v>0.13</v>
      </c>
    </row>
    <row r="14" spans="1:15" ht="15" thickBot="1" x14ac:dyDescent="0.35">
      <c r="A14" s="6" t="s">
        <v>153</v>
      </c>
      <c r="B14" s="7">
        <f>'Historicals (2)'!$B$12</f>
        <v>3273</v>
      </c>
      <c r="C14" s="7">
        <f>'Historicals (2)'!$C$12</f>
        <v>3760</v>
      </c>
      <c r="D14" s="7">
        <f>'Historicals (2)'!$D$12</f>
        <v>4240</v>
      </c>
      <c r="E14" s="7">
        <f>'Historicals (2)'!$E$12</f>
        <v>1933</v>
      </c>
      <c r="F14" s="7">
        <f>'Historicals (2)'!$F$12</f>
        <v>4029</v>
      </c>
      <c r="G14" s="7">
        <f>'Historicals (2)'!$G$12</f>
        <v>2539</v>
      </c>
      <c r="H14" s="7">
        <f>'Historicals (2)'!$H$12</f>
        <v>5727</v>
      </c>
      <c r="I14" s="7">
        <f>'Historicals (2)'!$I$12</f>
        <v>6046</v>
      </c>
      <c r="J14" s="7">
        <f>J11-J12</f>
        <v>4587.4578000000001</v>
      </c>
      <c r="K14" s="7">
        <f t="shared" ref="K14:N14" si="10">K11-K12</f>
        <v>4297.6314539890236</v>
      </c>
      <c r="L14" s="7">
        <f t="shared" si="10"/>
        <v>4154.4971128398138</v>
      </c>
      <c r="M14" s="7">
        <f t="shared" si="10"/>
        <v>4303.0051135269259</v>
      </c>
      <c r="N14" s="7">
        <f t="shared" si="10"/>
        <v>3887.2378712267209</v>
      </c>
    </row>
    <row r="15" spans="1:15" ht="15" thickTop="1" x14ac:dyDescent="0.3">
      <c r="A15" t="s">
        <v>154</v>
      </c>
      <c r="B15" s="3">
        <f>'Historicals (2)'!$B$18</f>
        <v>1768.8</v>
      </c>
      <c r="C15" s="3">
        <f>'Historicals (2)'!$C$18</f>
        <v>1742.5</v>
      </c>
      <c r="D15" s="3">
        <f>'Historicals (2)'!$D$18</f>
        <v>1692</v>
      </c>
      <c r="E15" s="3">
        <f>'Historicals (2)'!$E$18</f>
        <v>1659.1</v>
      </c>
      <c r="F15" s="3">
        <f>'Historicals (2)'!$F$18</f>
        <v>1618.4</v>
      </c>
      <c r="G15" s="3">
        <f>'Historicals (2)'!$G$18</f>
        <v>1591.6</v>
      </c>
      <c r="H15" s="3">
        <f>'Historicals (2)'!$H$18</f>
        <v>1609.4</v>
      </c>
      <c r="I15" s="3">
        <f>'Historicals (2)'!$I$18</f>
        <v>1610.8</v>
      </c>
      <c r="J15" s="86">
        <v>1610.8</v>
      </c>
      <c r="K15" s="86">
        <v>1610.8</v>
      </c>
      <c r="L15" s="86">
        <v>1610.8</v>
      </c>
      <c r="M15" s="86">
        <v>1610.8</v>
      </c>
      <c r="N15" s="86">
        <v>1610.8</v>
      </c>
      <c r="O15" s="88" t="s">
        <v>249</v>
      </c>
    </row>
    <row r="16" spans="1:15" x14ac:dyDescent="0.3">
      <c r="A16" t="s">
        <v>155</v>
      </c>
      <c r="B16" s="54">
        <f>'Historicals (2)'!$B$15</f>
        <v>1.85</v>
      </c>
      <c r="C16" s="54">
        <f>'Historicals (2)'!$C$15</f>
        <v>2.16</v>
      </c>
      <c r="D16" s="54">
        <f>'Historicals (2)'!$D$15</f>
        <v>2.5099999999999998</v>
      </c>
      <c r="E16" s="54">
        <f>'Historicals (2)'!$E$15</f>
        <v>1.17</v>
      </c>
      <c r="F16" s="54">
        <f>'Historicals (2)'!$F$15</f>
        <v>2.4900000000000002</v>
      </c>
      <c r="G16" s="54">
        <f>'Historicals (2)'!$G$15</f>
        <v>1.6</v>
      </c>
      <c r="H16" s="54">
        <f>'Historicals (2)'!$H$15</f>
        <v>3.56</v>
      </c>
      <c r="I16" s="54">
        <f>'Historicals (2)'!$I$15</f>
        <v>3.75</v>
      </c>
      <c r="J16" s="54">
        <f>J14/J15</f>
        <v>2.8479375465607153</v>
      </c>
      <c r="K16" s="54">
        <f t="shared" ref="K16:N16" si="11">K14/K15</f>
        <v>2.6680105872790065</v>
      </c>
      <c r="L16" s="54">
        <f t="shared" si="11"/>
        <v>2.5791514234168202</v>
      </c>
      <c r="M16" s="54">
        <f t="shared" si="11"/>
        <v>2.6713466063613893</v>
      </c>
      <c r="N16" s="54">
        <f t="shared" si="11"/>
        <v>2.4132343377369763</v>
      </c>
    </row>
    <row r="17" spans="1:45" x14ac:dyDescent="0.3">
      <c r="A17" t="s">
        <v>156</v>
      </c>
      <c r="B17" s="54">
        <f>'Historicals (2)'!B94/'Historicals (2)'!B18*-1</f>
        <v>1.4326096788783356</v>
      </c>
      <c r="C17" s="54">
        <f>'Historicals (2)'!C94/'Historicals (2)'!C18*-1</f>
        <v>0.58651362984218081</v>
      </c>
      <c r="D17" s="54">
        <f>'Historicals (2)'!D94/'Historicals (2)'!D18*-1</f>
        <v>0.66962174940898345</v>
      </c>
      <c r="E17" s="54">
        <f>'Historicals (2)'!E94/'Historicals (2)'!E18*-1</f>
        <v>0.74920137423904531</v>
      </c>
      <c r="F17" s="54">
        <f>'Historicals (2)'!F94/'Historicals (2)'!F18*-1</f>
        <v>0.82303509639149774</v>
      </c>
      <c r="G17" s="54">
        <f>'Historicals (2)'!G94/'Historicals (2)'!G18*-1</f>
        <v>0.91228951997989449</v>
      </c>
      <c r="H17" s="54">
        <f>'Historicals (2)'!H94/'Historicals (2)'!H18*-1</f>
        <v>1.0177705977382876</v>
      </c>
      <c r="I17" s="54">
        <f>'Historicals (2)'!I94/'Historicals (2)'!I18*-1</f>
        <v>1.1404271169605165</v>
      </c>
      <c r="J17" s="92">
        <f>+J16*J19</f>
        <v>1.2138278365816408</v>
      </c>
      <c r="K17" s="92">
        <f t="shared" ref="K17:N17" si="12">+K16*K19</f>
        <v>1.1371406381592672</v>
      </c>
      <c r="L17" s="92">
        <f t="shared" si="12"/>
        <v>1.0992677126235415</v>
      </c>
      <c r="M17" s="92">
        <f t="shared" si="12"/>
        <v>1.1385624926625213</v>
      </c>
      <c r="N17" s="92">
        <f t="shared" si="12"/>
        <v>1.0285517036275198</v>
      </c>
      <c r="O17" s="88" t="s">
        <v>248</v>
      </c>
      <c r="P17" s="80"/>
    </row>
    <row r="18" spans="1:45" x14ac:dyDescent="0.3">
      <c r="A18" s="51" t="s">
        <v>129</v>
      </c>
      <c r="B18" s="52" t="str">
        <f t="shared" ref="B18:N18" si="13">+IFERROR(B17/A17-1,"nm")</f>
        <v>nm</v>
      </c>
      <c r="C18" s="52">
        <f t="shared" si="13"/>
        <v>-0.59059774725144065</v>
      </c>
      <c r="D18" s="52">
        <f t="shared" si="13"/>
        <v>0.14169853067040461</v>
      </c>
      <c r="E18" s="52">
        <f t="shared" si="13"/>
        <v>0.11884265243818604</v>
      </c>
      <c r="F18" s="52">
        <f t="shared" si="13"/>
        <v>9.8549902190775418E-2</v>
      </c>
      <c r="G18" s="52">
        <f t="shared" si="13"/>
        <v>0.10844546481641237</v>
      </c>
      <c r="H18" s="52">
        <f t="shared" si="13"/>
        <v>0.11562237146023313</v>
      </c>
      <c r="I18" s="52">
        <f t="shared" si="13"/>
        <v>0.12051489745803123</v>
      </c>
      <c r="J18" s="81">
        <f t="shared" si="13"/>
        <v>6.4362481853950548E-2</v>
      </c>
      <c r="K18" s="81">
        <f t="shared" si="13"/>
        <v>-6.3177986293623478E-2</v>
      </c>
      <c r="L18" s="81">
        <f t="shared" si="13"/>
        <v>-3.3305401517469413E-2</v>
      </c>
      <c r="M18" s="81">
        <f t="shared" si="13"/>
        <v>3.5746324200860879E-2</v>
      </c>
      <c r="N18" s="81">
        <f t="shared" si="13"/>
        <v>-9.6622530378408955E-2</v>
      </c>
      <c r="O18" t="s">
        <v>240</v>
      </c>
    </row>
    <row r="19" spans="1:45" x14ac:dyDescent="0.3">
      <c r="A19" s="51" t="s">
        <v>157</v>
      </c>
      <c r="B19" s="52">
        <f t="shared" ref="B19:I19" si="14">B17/B16</f>
        <v>0.77438361020450563</v>
      </c>
      <c r="C19" s="52">
        <f t="shared" si="14"/>
        <v>0.27153408788989852</v>
      </c>
      <c r="D19" s="52">
        <f t="shared" si="14"/>
        <v>0.26678157346971454</v>
      </c>
      <c r="E19" s="52">
        <f t="shared" si="14"/>
        <v>0.64034305490516696</v>
      </c>
      <c r="F19" s="52">
        <f t="shared" si="14"/>
        <v>0.33053618328975809</v>
      </c>
      <c r="G19" s="52">
        <f t="shared" si="14"/>
        <v>0.57018094998743407</v>
      </c>
      <c r="H19" s="52">
        <f t="shared" si="14"/>
        <v>0.2858906173422156</v>
      </c>
      <c r="I19" s="52">
        <f t="shared" si="14"/>
        <v>0.30411389785613774</v>
      </c>
      <c r="J19" s="90">
        <f>+AVERAGE(E19:I19)</f>
        <v>0.42621294067614246</v>
      </c>
      <c r="K19" s="91">
        <v>0.42621294067614246</v>
      </c>
      <c r="L19" s="90">
        <v>0.42621294067614246</v>
      </c>
      <c r="M19" s="90">
        <v>0.42621294067614246</v>
      </c>
      <c r="N19" s="90">
        <v>0.42621294067614246</v>
      </c>
      <c r="O19" s="88" t="s">
        <v>247</v>
      </c>
    </row>
    <row r="20" spans="1:45" x14ac:dyDescent="0.3">
      <c r="A20" s="55" t="s">
        <v>158</v>
      </c>
      <c r="B20" s="38"/>
      <c r="C20" s="38"/>
      <c r="D20" s="38"/>
      <c r="E20" s="38"/>
      <c r="F20" s="38"/>
      <c r="G20" s="38"/>
      <c r="H20" s="38"/>
      <c r="I20" s="38"/>
      <c r="J20" s="37"/>
      <c r="K20" s="37"/>
      <c r="L20" s="37"/>
      <c r="M20" s="37"/>
      <c r="N20" s="37"/>
    </row>
    <row r="21" spans="1:45" x14ac:dyDescent="0.3">
      <c r="A21" t="s">
        <v>159</v>
      </c>
      <c r="B21" s="3">
        <f>'Historicals (2)'!B25</f>
        <v>3852</v>
      </c>
      <c r="C21" s="3">
        <f>'Historicals (2)'!C25</f>
        <v>3138</v>
      </c>
      <c r="D21" s="3">
        <f>'Historicals (2)'!D25</f>
        <v>3808</v>
      </c>
      <c r="E21" s="3">
        <f>'Historicals (2)'!E25</f>
        <v>4249</v>
      </c>
      <c r="F21" s="3">
        <f>'Historicals (2)'!F25</f>
        <v>4466</v>
      </c>
      <c r="G21" s="3">
        <f>'Historicals (2)'!G25</f>
        <v>8348</v>
      </c>
      <c r="H21" s="3">
        <f>'Historicals (2)'!H25</f>
        <v>9889</v>
      </c>
      <c r="I21" s="3">
        <f>'Historicals (2)'!I25</f>
        <v>8574</v>
      </c>
      <c r="J21" s="3">
        <f>AVERAGE(E21:I21)+AO21</f>
        <v>8257.5155490929101</v>
      </c>
      <c r="K21" s="3">
        <f>AVERAGE(F21:J21)+AP21</f>
        <v>10642.913117620114</v>
      </c>
      <c r="L21" s="3">
        <f>AVERAGE(G21:K21)+AQ21</f>
        <v>14096.988292561477</v>
      </c>
      <c r="M21" s="3">
        <f>AVERAGE(H21:L21)+AR21-3205.34</f>
        <v>14928.943555260452</v>
      </c>
      <c r="N21" s="3">
        <f>AVERAGE(I21:M21)+AS21-6255.81</f>
        <v>16482.320371005113</v>
      </c>
      <c r="AO21" s="82">
        <v>1152.3155490929094</v>
      </c>
      <c r="AP21" s="82">
        <v>2736.0100078015312</v>
      </c>
      <c r="AQ21" s="82">
        <v>4954.7025592188729</v>
      </c>
      <c r="AR21" s="82">
        <v>7842.2001634055523</v>
      </c>
      <c r="AS21" s="82">
        <v>11438.058268098121</v>
      </c>
    </row>
    <row r="22" spans="1:45" x14ac:dyDescent="0.3">
      <c r="A22" t="s">
        <v>160</v>
      </c>
      <c r="B22" s="3">
        <f>'Historicals (2)'!B26</f>
        <v>2072</v>
      </c>
      <c r="C22" s="3">
        <f>'Historicals (2)'!C26</f>
        <v>2319</v>
      </c>
      <c r="D22" s="3">
        <f>'Historicals (2)'!D26</f>
        <v>2371</v>
      </c>
      <c r="E22" s="3">
        <f>'Historicals (2)'!E26</f>
        <v>996</v>
      </c>
      <c r="F22" s="3">
        <f>'Historicals (2)'!F26</f>
        <v>197</v>
      </c>
      <c r="G22" s="3">
        <f>'Historicals (2)'!G26</f>
        <v>439</v>
      </c>
      <c r="H22" s="3">
        <f>'Historicals (2)'!H26</f>
        <v>3587</v>
      </c>
      <c r="I22" s="3">
        <f>'Historicals (2)'!I26</f>
        <v>4423</v>
      </c>
      <c r="J22" s="79">
        <f>AVERAGE(E22:I22)</f>
        <v>1928.4</v>
      </c>
      <c r="K22" s="79">
        <f t="shared" ref="K22:N22" si="15">AVERAGE(F22:J22)</f>
        <v>2114.88</v>
      </c>
      <c r="L22" s="79">
        <f t="shared" si="15"/>
        <v>2498.4559999999997</v>
      </c>
      <c r="M22" s="79">
        <f t="shared" si="15"/>
        <v>2910.3471999999997</v>
      </c>
      <c r="N22" s="79">
        <f t="shared" si="15"/>
        <v>2775.0166399999998</v>
      </c>
    </row>
    <row r="23" spans="1:45" x14ac:dyDescent="0.3">
      <c r="A23" t="s">
        <v>161</v>
      </c>
      <c r="B23" s="3">
        <f>('Historicals (2)'!B27+'Historicals (2)'!B28)-'Historicals (2)'!B41</f>
        <v>5564</v>
      </c>
      <c r="C23" s="3">
        <f>('Historicals (2)'!C27+'Historicals (2)'!C28)-'Historicals (2)'!C41</f>
        <v>5888</v>
      </c>
      <c r="D23" s="3">
        <f>('Historicals (2)'!D27+'Historicals (2)'!D28)-'Historicals (2)'!D41</f>
        <v>6684</v>
      </c>
      <c r="E23" s="3">
        <f>('Historicals (2)'!E27+'Historicals (2)'!E28)-'Historicals (2)'!E41</f>
        <v>6480</v>
      </c>
      <c r="F23" s="3">
        <f>('Historicals (2)'!F27+'Historicals (2)'!F28)-'Historicals (2)'!F41</f>
        <v>7282</v>
      </c>
      <c r="G23" s="3">
        <f>('Historicals (2)'!G27+'Historicals (2)'!G28)-'Historicals (2)'!G41</f>
        <v>7868</v>
      </c>
      <c r="H23" s="3">
        <f>('Historicals (2)'!H27+'Historicals (2)'!H28)-'Historicals (2)'!H41</f>
        <v>8481</v>
      </c>
      <c r="I23" s="3">
        <f>('Historicals (2)'!I27+'Historicals (2)'!I28)-'Historicals (2)'!I41</f>
        <v>9729</v>
      </c>
      <c r="J23" s="86">
        <f>J3*J24</f>
        <v>8580.0325504975808</v>
      </c>
      <c r="K23" s="86">
        <f t="shared" ref="K23:N23" si="16">K3*K24</f>
        <v>8362.65383324904</v>
      </c>
      <c r="L23" s="86">
        <f t="shared" si="16"/>
        <v>7948.2178012603872</v>
      </c>
      <c r="M23" s="86">
        <f t="shared" si="16"/>
        <v>7534.5491728472143</v>
      </c>
      <c r="N23" s="86">
        <f t="shared" si="16"/>
        <v>7793.6997914130106</v>
      </c>
      <c r="O23" s="88" t="s">
        <v>244</v>
      </c>
    </row>
    <row r="24" spans="1:45" x14ac:dyDescent="0.3">
      <c r="A24" s="51" t="s">
        <v>162</v>
      </c>
      <c r="B24" s="52">
        <f t="shared" ref="B24:I24" si="17">B23/B3</f>
        <v>9.6998012621596172E-2</v>
      </c>
      <c r="C24" s="52">
        <f t="shared" si="17"/>
        <v>9.1954022988505746E-2</v>
      </c>
      <c r="D24" s="52">
        <f t="shared" si="17"/>
        <v>0.10367934479121424</v>
      </c>
      <c r="E24" s="52">
        <f t="shared" si="17"/>
        <v>9.3898074220051878E-2</v>
      </c>
      <c r="F24" s="52">
        <f t="shared" si="17"/>
        <v>9.775415139677554E-2</v>
      </c>
      <c r="G24" s="52">
        <f t="shared" si="17"/>
        <v>0.11003118575803768</v>
      </c>
      <c r="H24" s="52">
        <f t="shared" si="17"/>
        <v>0.19042166240064665</v>
      </c>
      <c r="I24" s="52">
        <f t="shared" si="17"/>
        <v>0.20828516377649325</v>
      </c>
      <c r="J24" s="52">
        <f t="shared" ref="J24:N25" si="18">AVERAGE(E24:I24)</f>
        <v>0.14007804751040101</v>
      </c>
      <c r="K24" s="52">
        <v>0.14007804751040101</v>
      </c>
      <c r="L24" s="52">
        <v>0.14007804751040101</v>
      </c>
      <c r="M24" s="52">
        <v>0.14007804751040101</v>
      </c>
      <c r="N24" s="52">
        <v>0.14007804751040101</v>
      </c>
    </row>
    <row r="25" spans="1:45" x14ac:dyDescent="0.3">
      <c r="A25" t="s">
        <v>163</v>
      </c>
      <c r="B25" s="3">
        <f>'Historicals (2)'!B29</f>
        <v>1968</v>
      </c>
      <c r="C25" s="3">
        <f>'Historicals (2)'!C29</f>
        <v>1489</v>
      </c>
      <c r="D25" s="3">
        <f>'Historicals (2)'!D29</f>
        <v>1150</v>
      </c>
      <c r="E25" s="3">
        <f>'Historicals (2)'!E29</f>
        <v>1130</v>
      </c>
      <c r="F25" s="3">
        <f>'Historicals (2)'!F29</f>
        <v>1968</v>
      </c>
      <c r="G25" s="3">
        <f>'Historicals (2)'!G29</f>
        <v>1653</v>
      </c>
      <c r="H25" s="3">
        <f>'Historicals (2)'!H29</f>
        <v>1498</v>
      </c>
      <c r="I25" s="3">
        <f>'Historicals (2)'!I29</f>
        <v>2129</v>
      </c>
      <c r="J25" s="3">
        <f t="shared" si="18"/>
        <v>1675.6</v>
      </c>
      <c r="K25" s="3">
        <f t="shared" si="18"/>
        <v>1784.72</v>
      </c>
      <c r="L25" s="3">
        <f t="shared" si="18"/>
        <v>1748.0639999999999</v>
      </c>
      <c r="M25" s="3">
        <f t="shared" si="18"/>
        <v>1767.0768</v>
      </c>
      <c r="N25" s="3">
        <f t="shared" si="18"/>
        <v>1820.8921600000001</v>
      </c>
    </row>
    <row r="26" spans="1:45" x14ac:dyDescent="0.3">
      <c r="A26" t="s">
        <v>164</v>
      </c>
      <c r="B26" s="3">
        <f>'Historicals (2)'!B31</f>
        <v>3011</v>
      </c>
      <c r="C26" s="3">
        <f>'Historicals (2)'!C31</f>
        <v>3520</v>
      </c>
      <c r="D26" s="3">
        <f>'Historicals (2)'!D31</f>
        <v>3989</v>
      </c>
      <c r="E26" s="3">
        <f>'Historicals (2)'!E31</f>
        <v>4454</v>
      </c>
      <c r="F26" s="3">
        <f>'Historicals (2)'!F31</f>
        <v>4744</v>
      </c>
      <c r="G26" s="3">
        <f>'Historicals (2)'!G31</f>
        <v>4886</v>
      </c>
      <c r="H26" s="3">
        <f>'Historicals (2)'!H31</f>
        <v>4904</v>
      </c>
      <c r="I26" s="3">
        <f>'Historicals (2)'!I31</f>
        <v>4791</v>
      </c>
      <c r="J26" s="3">
        <f>I26-J47-J55</f>
        <v>4215.6023364800567</v>
      </c>
      <c r="K26" s="3">
        <f>J26-K47-K55</f>
        <v>3451.7230582235702</v>
      </c>
      <c r="L26" s="3">
        <f>K26-L47-L55</f>
        <v>2477.3521560706567</v>
      </c>
      <c r="M26" s="3">
        <f>L26-M47-M55</f>
        <v>1265.9385220337838</v>
      </c>
      <c r="N26" s="3">
        <f>M26-N47-N55</f>
        <v>-214.49318703096969</v>
      </c>
    </row>
    <row r="27" spans="1:45" x14ac:dyDescent="0.3">
      <c r="A27" t="s">
        <v>165</v>
      </c>
      <c r="B27" s="3">
        <f>'Historicals (2)'!B33</f>
        <v>280</v>
      </c>
      <c r="C27" s="3">
        <f>'Historicals (2)'!C33</f>
        <v>281</v>
      </c>
      <c r="D27" s="3">
        <f>'Historicals (2)'!D33</f>
        <v>283</v>
      </c>
      <c r="E27" s="3">
        <f>'Historicals (2)'!E33</f>
        <v>285</v>
      </c>
      <c r="F27" s="3">
        <f>'Historicals (2)'!F33</f>
        <v>283</v>
      </c>
      <c r="G27" s="3">
        <f>'Historicals (2)'!G33</f>
        <v>274</v>
      </c>
      <c r="H27" s="3">
        <f>'Historicals (2)'!H33</f>
        <v>269</v>
      </c>
      <c r="I27" s="3">
        <f>'Historicals (2)'!I33</f>
        <v>286</v>
      </c>
      <c r="J27" s="3">
        <f t="shared" ref="J27:N29" si="19">AVERAGE(E27:I27)</f>
        <v>279.39999999999998</v>
      </c>
      <c r="K27" s="3">
        <f t="shared" si="19"/>
        <v>278.28000000000003</v>
      </c>
      <c r="L27" s="3">
        <f t="shared" si="19"/>
        <v>277.33600000000001</v>
      </c>
      <c r="M27" s="3">
        <f t="shared" si="19"/>
        <v>278.00319999999999</v>
      </c>
      <c r="N27" s="3">
        <f t="shared" si="19"/>
        <v>279.80384000000004</v>
      </c>
    </row>
    <row r="28" spans="1:45" x14ac:dyDescent="0.3">
      <c r="A28" t="s">
        <v>40</v>
      </c>
      <c r="B28" s="3">
        <f>'Historicals (2)'!B34</f>
        <v>131</v>
      </c>
      <c r="C28" s="3">
        <f>'Historicals (2)'!C34</f>
        <v>131</v>
      </c>
      <c r="D28" s="3">
        <f>'Historicals (2)'!D34</f>
        <v>139</v>
      </c>
      <c r="E28" s="3">
        <f>'Historicals (2)'!E34</f>
        <v>154</v>
      </c>
      <c r="F28" s="3">
        <f>'Historicals (2)'!F34</f>
        <v>154</v>
      </c>
      <c r="G28" s="3">
        <f>'Historicals (2)'!G34</f>
        <v>223</v>
      </c>
      <c r="H28" s="3">
        <f>'Historicals (2)'!H34</f>
        <v>242</v>
      </c>
      <c r="I28" s="3">
        <f>'Historicals (2)'!I34</f>
        <v>284</v>
      </c>
      <c r="J28" s="3">
        <f t="shared" si="19"/>
        <v>211.4</v>
      </c>
      <c r="K28" s="3">
        <f t="shared" si="19"/>
        <v>222.88000000000002</v>
      </c>
      <c r="L28" s="3">
        <f t="shared" si="19"/>
        <v>236.65600000000001</v>
      </c>
      <c r="M28" s="3">
        <f t="shared" si="19"/>
        <v>239.38719999999998</v>
      </c>
      <c r="N28" s="3">
        <f t="shared" si="19"/>
        <v>238.86463999999995</v>
      </c>
    </row>
    <row r="29" spans="1:45" x14ac:dyDescent="0.3">
      <c r="A29" s="56" t="s">
        <v>38</v>
      </c>
      <c r="B29" s="3">
        <f>'Historicals (2)'!B32</f>
        <v>0</v>
      </c>
      <c r="C29" s="3">
        <f>'Historicals (2)'!C32</f>
        <v>0</v>
      </c>
      <c r="D29" s="3">
        <f>'Historicals (2)'!D32</f>
        <v>0</v>
      </c>
      <c r="E29" s="3">
        <f>'Historicals (2)'!E32</f>
        <v>0</v>
      </c>
      <c r="F29" s="3">
        <f>'Historicals (2)'!F32</f>
        <v>0</v>
      </c>
      <c r="G29" s="3">
        <f>'Historicals (2)'!G32</f>
        <v>3097</v>
      </c>
      <c r="H29" s="3">
        <f>'Historicals (2)'!H32</f>
        <v>3113</v>
      </c>
      <c r="I29" s="3">
        <f>'Historicals (2)'!I32</f>
        <v>2926</v>
      </c>
      <c r="J29" s="3">
        <f t="shared" si="19"/>
        <v>1827.2</v>
      </c>
      <c r="K29" s="3">
        <f t="shared" si="19"/>
        <v>2192.6400000000003</v>
      </c>
      <c r="L29" s="3">
        <f t="shared" si="19"/>
        <v>2631.1680000000001</v>
      </c>
      <c r="M29" s="3">
        <f t="shared" si="19"/>
        <v>2538.0016000000001</v>
      </c>
      <c r="N29" s="3">
        <f t="shared" si="19"/>
        <v>2423.0019199999997</v>
      </c>
    </row>
    <row r="30" spans="1:45" ht="28.8" x14ac:dyDescent="0.3">
      <c r="A30" t="s">
        <v>166</v>
      </c>
      <c r="B30" s="3">
        <f>'Historicals (2)'!B35</f>
        <v>2587</v>
      </c>
      <c r="C30" s="3">
        <f>'Historicals (2)'!B35</f>
        <v>2587</v>
      </c>
      <c r="D30" s="3">
        <f>'Historicals (2)'!D35</f>
        <v>2787</v>
      </c>
      <c r="E30" s="3">
        <f>'Historicals (2)'!E35</f>
        <v>2509</v>
      </c>
      <c r="F30" s="3">
        <f>'Historicals (2)'!F35</f>
        <v>2011</v>
      </c>
      <c r="G30" s="3">
        <f>'Historicals (2)'!G35</f>
        <v>2326</v>
      </c>
      <c r="H30" s="3">
        <f>'Historicals (2)'!H35</f>
        <v>2921</v>
      </c>
      <c r="I30" s="3">
        <f>'Historicals (2)'!I35</f>
        <v>3821</v>
      </c>
      <c r="J30" s="86">
        <v>3821</v>
      </c>
      <c r="K30" s="86">
        <v>3821</v>
      </c>
      <c r="L30" s="86">
        <v>3821</v>
      </c>
      <c r="M30" s="86">
        <v>3821</v>
      </c>
      <c r="N30" s="86">
        <v>3821</v>
      </c>
      <c r="O30" s="85" t="s">
        <v>210</v>
      </c>
    </row>
    <row r="31" spans="1:45" ht="15" thickBot="1" x14ac:dyDescent="0.35">
      <c r="A31" s="6" t="s">
        <v>167</v>
      </c>
      <c r="B31" s="7">
        <f>B21+B22+B23+B25+B26+B27+B28+B29+B30</f>
        <v>19465</v>
      </c>
      <c r="C31" s="7">
        <f>C21+C22+C23+C25+C26+C27+C28+C29+C30</f>
        <v>19353</v>
      </c>
      <c r="D31" s="7">
        <f>D21+D22+D23+D25+D26+D27+D28+D30</f>
        <v>21211</v>
      </c>
      <c r="E31" s="7">
        <f>E21+E22+E23+E25+E26+E27+E28+E30</f>
        <v>20257</v>
      </c>
      <c r="F31" s="7">
        <f>F21+F23+F22+F25+F26+F27+F28+F30</f>
        <v>21105</v>
      </c>
      <c r="G31" s="7">
        <f>G21+G22+G23+G25+G26+G27+G28+G29+G30</f>
        <v>29114</v>
      </c>
      <c r="H31" s="7">
        <f>H21+H23+H22+H25+H26+H27+H28+H29+H30</f>
        <v>34904</v>
      </c>
      <c r="I31" s="7">
        <f t="shared" ref="I31:N31" si="20">I21+I22+I23+I25+I26+I27+I28+I29+I30</f>
        <v>36963</v>
      </c>
      <c r="J31" s="7">
        <f t="shared" si="20"/>
        <v>30796.150436070548</v>
      </c>
      <c r="K31" s="7">
        <f t="shared" si="20"/>
        <v>32871.690009092723</v>
      </c>
      <c r="L31" s="7">
        <f t="shared" si="20"/>
        <v>35735.238249892514</v>
      </c>
      <c r="M31" s="7">
        <f t="shared" si="20"/>
        <v>35283.247250141445</v>
      </c>
      <c r="N31" s="7">
        <f t="shared" si="20"/>
        <v>35420.106175387147</v>
      </c>
    </row>
    <row r="32" spans="1:45" ht="15" thickTop="1" x14ac:dyDescent="0.3">
      <c r="A32" t="s">
        <v>168</v>
      </c>
      <c r="B32" s="3"/>
      <c r="C32" s="3"/>
      <c r="D32" s="3"/>
      <c r="E32" s="3"/>
      <c r="F32" s="3"/>
      <c r="G32" s="3"/>
      <c r="H32" s="3"/>
      <c r="I32" s="3"/>
      <c r="J32" s="3"/>
      <c r="K32" s="3"/>
      <c r="L32" s="3"/>
      <c r="M32" s="3"/>
      <c r="N32" s="3"/>
    </row>
    <row r="33" spans="1:15" x14ac:dyDescent="0.3">
      <c r="A33" s="2" t="s">
        <v>45</v>
      </c>
      <c r="B33" s="3">
        <f>'Historicals (2)'!B39</f>
        <v>107</v>
      </c>
      <c r="C33" s="3">
        <f>'Historicals (2)'!C39</f>
        <v>44</v>
      </c>
      <c r="D33" s="3">
        <f>'Historicals (2)'!D39</f>
        <v>6</v>
      </c>
      <c r="E33" s="3">
        <f>'Historicals (2)'!E39</f>
        <v>6</v>
      </c>
      <c r="F33" s="3">
        <f>'Historicals (2)'!F39</f>
        <v>6</v>
      </c>
      <c r="G33" s="3">
        <f>'Historicals (2)'!G39</f>
        <v>3</v>
      </c>
      <c r="H33" s="3">
        <f>'Historicals (2)'!H39</f>
        <v>0</v>
      </c>
      <c r="I33" s="3">
        <f>'Historicals (2)'!I39</f>
        <v>500</v>
      </c>
      <c r="J33" s="86">
        <f>+J36*0.06</f>
        <v>416.05199999999996</v>
      </c>
      <c r="K33" s="86">
        <f t="shared" ref="K33:N33" si="21">+K36*0.06</f>
        <v>416.05199999999996</v>
      </c>
      <c r="L33" s="86">
        <f t="shared" si="21"/>
        <v>416.05199999999996</v>
      </c>
      <c r="M33" s="86">
        <f t="shared" si="21"/>
        <v>416.05199999999996</v>
      </c>
      <c r="N33" s="86">
        <f t="shared" si="21"/>
        <v>416.05199999999996</v>
      </c>
      <c r="O33" s="88" t="s">
        <v>246</v>
      </c>
    </row>
    <row r="34" spans="1:15" x14ac:dyDescent="0.3">
      <c r="A34" s="2" t="s">
        <v>46</v>
      </c>
      <c r="B34" s="3">
        <f>'Historicals (2)'!B40</f>
        <v>74</v>
      </c>
      <c r="C34" s="3">
        <f>'Historicals (2)'!C40</f>
        <v>1</v>
      </c>
      <c r="D34" s="3">
        <f>'Historicals (2)'!D40</f>
        <v>325</v>
      </c>
      <c r="E34" s="3">
        <f>'Historicals (2)'!E40</f>
        <v>336</v>
      </c>
      <c r="F34" s="3">
        <f>'Historicals (2)'!F40</f>
        <v>9</v>
      </c>
      <c r="G34" s="3">
        <f>'Historicals (2)'!G40</f>
        <v>248</v>
      </c>
      <c r="H34" s="3">
        <f>'Historicals (2)'!F40</f>
        <v>9</v>
      </c>
      <c r="I34" s="3">
        <f>'Historicals (2)'!I40</f>
        <v>10</v>
      </c>
      <c r="J34" s="3">
        <f t="shared" ref="J34:N38" si="22">AVERAGE(E34:I34)</f>
        <v>122.4</v>
      </c>
      <c r="K34" s="3">
        <f t="shared" si="22"/>
        <v>79.679999999999993</v>
      </c>
      <c r="L34" s="3">
        <f t="shared" si="22"/>
        <v>93.816000000000003</v>
      </c>
      <c r="M34" s="3">
        <f t="shared" si="22"/>
        <v>62.979199999999992</v>
      </c>
      <c r="N34" s="3">
        <f t="shared" si="22"/>
        <v>73.77503999999999</v>
      </c>
    </row>
    <row r="35" spans="1:15" x14ac:dyDescent="0.3">
      <c r="A35" t="s">
        <v>169</v>
      </c>
      <c r="B35" s="3">
        <f>'Historicals (2)'!B42+'Historicals (2)'!B43+'Historicals (2)'!B44</f>
        <v>4020</v>
      </c>
      <c r="C35" s="3">
        <f>'Historicals (2)'!C42+'Historicals (2)'!C43+'Historicals (2)'!C44</f>
        <v>3122</v>
      </c>
      <c r="D35" s="3">
        <f>'Historicals (2)'!D42+'Historicals (2)'!D43+'Historicals (2)'!D44</f>
        <v>3095</v>
      </c>
      <c r="E35" s="3">
        <f>'Historicals (2)'!E42+'Historicals (2)'!E43+'Historicals (2)'!E44</f>
        <v>3419</v>
      </c>
      <c r="F35" s="3">
        <f>'Historicals (2)'!F42+'Historicals (2)'!F43+'Historicals (2)'!F44</f>
        <v>5239</v>
      </c>
      <c r="G35" s="3">
        <f>'Historicals (2)'!G42+'Historicals (2)'!G43+'Historicals (2)'!G44</f>
        <v>5785</v>
      </c>
      <c r="H35" s="3">
        <f>'Historicals (2)'!H42+'Historicals (2)'!H43+'Historicals (2)'!H44</f>
        <v>6530</v>
      </c>
      <c r="I35" s="3">
        <f>'Historicals (2)'!I42+'Historicals (2)'!I43+'Historicals (2)'!I44</f>
        <v>6862</v>
      </c>
      <c r="J35" s="3">
        <f t="shared" si="22"/>
        <v>5567</v>
      </c>
      <c r="K35" s="3">
        <f t="shared" si="22"/>
        <v>5996.6</v>
      </c>
      <c r="L35" s="3">
        <f t="shared" si="22"/>
        <v>6148.12</v>
      </c>
      <c r="M35" s="3">
        <f t="shared" si="22"/>
        <v>6220.7439999999997</v>
      </c>
      <c r="N35" s="3">
        <f t="shared" si="22"/>
        <v>6158.8927999999996</v>
      </c>
    </row>
    <row r="36" spans="1:15" x14ac:dyDescent="0.3">
      <c r="A36" t="s">
        <v>49</v>
      </c>
      <c r="B36" s="3">
        <f>'Historicals (2)'!B46</f>
        <v>1079</v>
      </c>
      <c r="C36" s="3">
        <f>'Historicals (2)'!C46</f>
        <v>2010</v>
      </c>
      <c r="D36" s="3">
        <f>'Historicals (2)'!D46</f>
        <v>3471</v>
      </c>
      <c r="E36" s="3">
        <f>'Historicals (2)'!E46</f>
        <v>3468</v>
      </c>
      <c r="F36" s="3">
        <f>'Historicals (2)'!F46</f>
        <v>3464</v>
      </c>
      <c r="G36" s="3">
        <f>'Historicals (2)'!G46</f>
        <v>9406</v>
      </c>
      <c r="H36" s="3">
        <f>'Historicals (2)'!H46</f>
        <v>9413</v>
      </c>
      <c r="I36" s="3">
        <f>'Historicals (2)'!I46</f>
        <v>8920</v>
      </c>
      <c r="J36" s="86">
        <f t="shared" si="22"/>
        <v>6934.2</v>
      </c>
      <c r="K36" s="86">
        <v>6934.2</v>
      </c>
      <c r="L36" s="86">
        <v>6934.2</v>
      </c>
      <c r="M36" s="86">
        <v>6934.2</v>
      </c>
      <c r="N36" s="86">
        <v>6934.2</v>
      </c>
      <c r="O36" s="88" t="s">
        <v>245</v>
      </c>
    </row>
    <row r="37" spans="1:15" x14ac:dyDescent="0.3">
      <c r="A37" s="56" t="s">
        <v>50</v>
      </c>
      <c r="B37" s="3">
        <f>'Historicals (2)'!B47</f>
        <v>1479</v>
      </c>
      <c r="C37" s="3">
        <f>'Historicals (2)'!C47</f>
        <v>1770</v>
      </c>
      <c r="D37" s="3">
        <f>'Historicals (2)'!D47</f>
        <v>1907</v>
      </c>
      <c r="E37" s="3">
        <f>'Historicals (2)'!E47</f>
        <v>3216</v>
      </c>
      <c r="F37" s="3">
        <f>'Historicals (2)'!F47</f>
        <v>0</v>
      </c>
      <c r="G37" s="3">
        <f>'Historicals (2)'!G47</f>
        <v>2913</v>
      </c>
      <c r="H37" s="3">
        <f>'Historicals (2)'!H47</f>
        <v>2931</v>
      </c>
      <c r="I37" s="3">
        <f>'Historicals (2)'!I47</f>
        <v>2777</v>
      </c>
      <c r="J37" s="3">
        <f t="shared" si="22"/>
        <v>2367.4</v>
      </c>
      <c r="K37" s="3">
        <f t="shared" si="22"/>
        <v>2197.6799999999998</v>
      </c>
      <c r="L37" s="3">
        <f t="shared" si="22"/>
        <v>2637.2159999999999</v>
      </c>
      <c r="M37" s="3">
        <f t="shared" si="22"/>
        <v>2582.0592000000001</v>
      </c>
      <c r="N37" s="3">
        <f t="shared" si="22"/>
        <v>2512.2710400000001</v>
      </c>
    </row>
    <row r="38" spans="1:15" x14ac:dyDescent="0.3">
      <c r="A38" t="s">
        <v>170</v>
      </c>
      <c r="B38" s="3">
        <f>'Historicals (2)'!B48</f>
        <v>0</v>
      </c>
      <c r="C38" s="3">
        <f>'Historicals (2)'!C48</f>
        <v>0</v>
      </c>
      <c r="D38" s="3">
        <f>'Historicals (2)'!D48</f>
        <v>0</v>
      </c>
      <c r="E38" s="3">
        <f>'Historicals (2)'!E48</f>
        <v>0</v>
      </c>
      <c r="F38" s="3">
        <f>'Historicals (2)'!F48</f>
        <v>3347</v>
      </c>
      <c r="G38" s="3">
        <f>'Historicals (2)'!G48</f>
        <v>2684</v>
      </c>
      <c r="H38" s="3">
        <f>'Historicals (2)'!H48</f>
        <v>2955</v>
      </c>
      <c r="I38" s="3">
        <f>'Historicals (2)'!I48</f>
        <v>2613</v>
      </c>
      <c r="J38" s="3">
        <f t="shared" si="22"/>
        <v>2319.8000000000002</v>
      </c>
      <c r="K38" s="3">
        <f t="shared" si="22"/>
        <v>2783.7599999999998</v>
      </c>
      <c r="L38" s="3">
        <f t="shared" si="22"/>
        <v>2671.1120000000001</v>
      </c>
      <c r="M38" s="3">
        <f t="shared" si="22"/>
        <v>2668.5343999999996</v>
      </c>
      <c r="N38" s="3">
        <f t="shared" si="22"/>
        <v>2611.2412799999997</v>
      </c>
    </row>
    <row r="39" spans="1:15" x14ac:dyDescent="0.3">
      <c r="A39" t="s">
        <v>171</v>
      </c>
      <c r="B39" s="3">
        <f t="shared" ref="B39:N39" si="23">B40+B41+B42</f>
        <v>12706</v>
      </c>
      <c r="C39" s="3">
        <f t="shared" si="23"/>
        <v>12406</v>
      </c>
      <c r="D39" s="3">
        <f t="shared" si="23"/>
        <v>12407</v>
      </c>
      <c r="E39" s="3">
        <f t="shared" si="23"/>
        <v>9812</v>
      </c>
      <c r="F39" s="3">
        <f t="shared" si="23"/>
        <v>9040</v>
      </c>
      <c r="G39" s="3">
        <f t="shared" si="23"/>
        <v>8075</v>
      </c>
      <c r="H39" s="3">
        <f t="shared" si="23"/>
        <v>13066</v>
      </c>
      <c r="I39" s="3">
        <f t="shared" si="23"/>
        <v>15281</v>
      </c>
      <c r="J39" s="3">
        <f>J40+J41+J42</f>
        <v>14437.223920834293</v>
      </c>
      <c r="K39" s="3">
        <f t="shared" si="23"/>
        <v>14270.925314042077</v>
      </c>
      <c r="L39" s="3">
        <f t="shared" si="23"/>
        <v>14188.796681345813</v>
      </c>
      <c r="M39" s="3">
        <f t="shared" si="23"/>
        <v>14274.008650346137</v>
      </c>
      <c r="N39" s="3">
        <f t="shared" si="23"/>
        <v>14035.446787023513</v>
      </c>
    </row>
    <row r="40" spans="1:15" x14ac:dyDescent="0.3">
      <c r="A40" s="2" t="s">
        <v>172</v>
      </c>
      <c r="B40" s="3">
        <f>'Historicals (2)'!B54</f>
        <v>3</v>
      </c>
      <c r="C40" s="3">
        <f>'Historicals (2)'!C54</f>
        <v>3</v>
      </c>
      <c r="D40" s="3">
        <f>'Historicals (2)'!D54</f>
        <v>3</v>
      </c>
      <c r="E40" s="3">
        <f>'Historicals (2)'!E54</f>
        <v>3</v>
      </c>
      <c r="F40" s="3">
        <f>'Historicals (2)'!F54</f>
        <v>3</v>
      </c>
      <c r="G40" s="3">
        <f>'Historicals (2)'!G54</f>
        <v>3</v>
      </c>
      <c r="H40" s="3">
        <f>'Historicals (2)'!H54</f>
        <v>3</v>
      </c>
      <c r="I40" s="3">
        <f>'Historicals (2)'!I54</f>
        <v>3</v>
      </c>
      <c r="J40" s="3">
        <f t="shared" ref="J40:N40" si="24">AVERAGE(E40:I40)</f>
        <v>3</v>
      </c>
      <c r="K40" s="3">
        <f t="shared" si="24"/>
        <v>3</v>
      </c>
      <c r="L40" s="3">
        <f t="shared" si="24"/>
        <v>3</v>
      </c>
      <c r="M40" s="3">
        <f t="shared" si="24"/>
        <v>3</v>
      </c>
      <c r="N40" s="3">
        <f t="shared" si="24"/>
        <v>3</v>
      </c>
    </row>
    <row r="41" spans="1:15" x14ac:dyDescent="0.3">
      <c r="A41" s="2" t="s">
        <v>173</v>
      </c>
      <c r="B41" s="3">
        <f>'Historicals (2)'!B57</f>
        <v>4685</v>
      </c>
      <c r="C41" s="3">
        <f>'Historicals (2)'!C57</f>
        <v>4151</v>
      </c>
      <c r="D41" s="3">
        <f>'Historicals (2)'!D57</f>
        <v>6907</v>
      </c>
      <c r="E41" s="3">
        <f>'Historicals (2)'!E57</f>
        <v>3517</v>
      </c>
      <c r="F41" s="3">
        <f>'Historicals (2)'!F57</f>
        <v>1643</v>
      </c>
      <c r="G41" s="3">
        <f>'Historicals (2)'!G57</f>
        <v>-191</v>
      </c>
      <c r="H41" s="3">
        <f>'Historicals (2)'!H57</f>
        <v>3179</v>
      </c>
      <c r="I41" s="3">
        <f>'Historicals (2)'!I57</f>
        <v>3476</v>
      </c>
      <c r="J41" s="86">
        <f>+J14+J61</f>
        <v>2632.223920834293</v>
      </c>
      <c r="K41" s="86">
        <f t="shared" ref="K41:N41" si="25">+K14+K61</f>
        <v>2465.925314042076</v>
      </c>
      <c r="L41" s="86">
        <f t="shared" si="25"/>
        <v>2383.7966813458133</v>
      </c>
      <c r="M41" s="86">
        <f t="shared" si="25"/>
        <v>2469.0086503461366</v>
      </c>
      <c r="N41" s="86">
        <f t="shared" si="25"/>
        <v>2230.4467870235121</v>
      </c>
      <c r="O41" t="s">
        <v>243</v>
      </c>
    </row>
    <row r="42" spans="1:15" ht="28.8" x14ac:dyDescent="0.3">
      <c r="A42" s="2" t="s">
        <v>174</v>
      </c>
      <c r="B42" s="3">
        <f>'Historicals (2)'!B55+'Historicals (2)'!B56-1</f>
        <v>8018</v>
      </c>
      <c r="C42" s="3">
        <f>'Historicals (2)'!C55+'Historicals (2)'!C56+148</f>
        <v>8252</v>
      </c>
      <c r="D42" s="3">
        <f>'Historicals (2)'!D55+'Historicals (2)'!D56</f>
        <v>5497</v>
      </c>
      <c r="E42" s="3">
        <f>'Historicals (2)'!E55+'Historicals (2)'!E56</f>
        <v>6292</v>
      </c>
      <c r="F42" s="3">
        <f>'Historicals (2)'!F55+'Historicals (2)'!F56</f>
        <v>7394</v>
      </c>
      <c r="G42" s="3">
        <f>'Historicals (2)'!G55+'Historicals (2)'!G56+20</f>
        <v>8263</v>
      </c>
      <c r="H42" s="3">
        <f>'Historicals (2)'!H55+'Historicals (2)'!H56+299</f>
        <v>9884</v>
      </c>
      <c r="I42" s="3">
        <f>'Historicals (2)'!I55+'Historicals (2)'!I56</f>
        <v>11802</v>
      </c>
      <c r="J42" s="86">
        <v>11802</v>
      </c>
      <c r="K42" s="86">
        <v>11802</v>
      </c>
      <c r="L42" s="86">
        <v>11802</v>
      </c>
      <c r="M42" s="86">
        <v>11802</v>
      </c>
      <c r="N42" s="86">
        <v>11802</v>
      </c>
      <c r="O42" s="85" t="s">
        <v>210</v>
      </c>
    </row>
    <row r="43" spans="1:15" ht="15" thickBot="1" x14ac:dyDescent="0.35">
      <c r="A43" s="6" t="s">
        <v>175</v>
      </c>
      <c r="B43" s="7">
        <f>B33+B34+B35+B36+B37+B38+B39</f>
        <v>19465</v>
      </c>
      <c r="C43" s="7">
        <f>C33+C34+C35+C36+C37+C38+C39</f>
        <v>19353</v>
      </c>
      <c r="D43" s="7">
        <f>D33+D34+D35+D36+D37+D38+D39</f>
        <v>21211</v>
      </c>
      <c r="E43" s="7">
        <f>E33+E34+E35+E36+E37+E38+E39</f>
        <v>20257</v>
      </c>
      <c r="F43" s="7">
        <f>F33+F34+F35+F36+F38+F39</f>
        <v>21105</v>
      </c>
      <c r="G43" s="7">
        <f>G33+G34+G35+G36+G37+G38+G39</f>
        <v>29114</v>
      </c>
      <c r="H43" s="7">
        <f>H34+H35+H36+H37+H38+H39</f>
        <v>34904</v>
      </c>
      <c r="I43" s="7">
        <f>I33+I34+I35+I36+I37+I38+I39</f>
        <v>36963</v>
      </c>
      <c r="J43" s="7">
        <f>J33+J34+J35+J36+J37+J38+J39</f>
        <v>32164.075920834293</v>
      </c>
      <c r="K43" s="7">
        <f t="shared" ref="K43:N43" si="26">K33+K34+K35+K36+K37+K38+K39</f>
        <v>32678.897314042075</v>
      </c>
      <c r="L43" s="7">
        <f t="shared" si="26"/>
        <v>33089.312681345815</v>
      </c>
      <c r="M43" s="7">
        <f t="shared" si="26"/>
        <v>33158.577450346136</v>
      </c>
      <c r="N43" s="7">
        <f t="shared" si="26"/>
        <v>32741.87894702351</v>
      </c>
    </row>
    <row r="44" spans="1:15" ht="15" thickTop="1" x14ac:dyDescent="0.3">
      <c r="A44" s="82" t="s">
        <v>176</v>
      </c>
      <c r="B44" s="82"/>
      <c r="C44" s="82"/>
      <c r="D44" s="82"/>
      <c r="E44" s="82"/>
      <c r="F44" s="82"/>
      <c r="G44" s="82"/>
      <c r="H44" s="82"/>
      <c r="I44" s="82"/>
      <c r="J44" s="82"/>
      <c r="K44" s="82"/>
      <c r="L44" s="82"/>
      <c r="M44" s="82"/>
      <c r="N44" s="82"/>
    </row>
    <row r="45" spans="1:15" x14ac:dyDescent="0.3">
      <c r="A45" s="55" t="s">
        <v>241</v>
      </c>
      <c r="B45" s="38"/>
      <c r="C45" s="38"/>
      <c r="D45" s="38"/>
      <c r="E45" s="38"/>
      <c r="F45" s="38"/>
      <c r="G45" s="38"/>
      <c r="H45" s="38"/>
      <c r="I45" s="38"/>
      <c r="J45" s="37"/>
      <c r="K45" s="37"/>
      <c r="L45" s="37"/>
      <c r="M45" s="37"/>
      <c r="N45" s="37"/>
    </row>
    <row r="46" spans="1:15" x14ac:dyDescent="0.3">
      <c r="A46" s="1" t="s">
        <v>134</v>
      </c>
      <c r="B46" s="9">
        <f>'Segmental forecast (2)'!B11</f>
        <v>4233</v>
      </c>
      <c r="C46" s="9">
        <f>'Segmental forecast (2)'!C11</f>
        <v>4642</v>
      </c>
      <c r="D46" s="9">
        <f>'Segmental forecast (2)'!D11</f>
        <v>4945</v>
      </c>
      <c r="E46" s="9">
        <f>'Segmental forecast (2)'!E11</f>
        <v>4379</v>
      </c>
      <c r="F46" s="9">
        <f>'Segmental forecast (2)'!F11</f>
        <v>4850</v>
      </c>
      <c r="G46" s="9">
        <f>'Segmental forecast (2)'!G11</f>
        <v>2976</v>
      </c>
      <c r="H46" s="9">
        <f>'Segmental forecast (2)'!H11</f>
        <v>6923</v>
      </c>
      <c r="I46" s="9">
        <f>'Segmental forecast (2)'!I11</f>
        <v>6856</v>
      </c>
      <c r="J46" s="9">
        <f t="shared" ref="J46:N46" si="27">AVERAGE(E46:I46)</f>
        <v>5196.8</v>
      </c>
      <c r="K46" s="9">
        <f t="shared" si="27"/>
        <v>5360.36</v>
      </c>
      <c r="L46" s="9">
        <f t="shared" si="27"/>
        <v>5462.4319999999998</v>
      </c>
      <c r="M46" s="9">
        <f t="shared" si="27"/>
        <v>5959.7183999999997</v>
      </c>
      <c r="N46" s="9">
        <f t="shared" si="27"/>
        <v>5767.0620800000006</v>
      </c>
    </row>
    <row r="47" spans="1:15" x14ac:dyDescent="0.3">
      <c r="A47" t="s">
        <v>132</v>
      </c>
      <c r="B47" s="58">
        <f>'Segmental forecast (2)'!B8</f>
        <v>606</v>
      </c>
      <c r="C47" s="58">
        <f>'Segmental forecast (2)'!C8</f>
        <v>649</v>
      </c>
      <c r="D47" s="58">
        <f>'Segmental forecast (2)'!D8</f>
        <v>699</v>
      </c>
      <c r="E47" s="58">
        <f>'Segmental forecast (2)'!E8</f>
        <v>747</v>
      </c>
      <c r="F47" s="58">
        <f>'Segmental forecast (2)'!F8</f>
        <v>705</v>
      </c>
      <c r="G47" s="58">
        <f>'Segmental forecast (2)'!G8</f>
        <v>721</v>
      </c>
      <c r="H47" s="58">
        <f>'Segmental forecast (2)'!H8</f>
        <v>744</v>
      </c>
      <c r="I47" s="58">
        <f>'Segmental forecast (2)'!I8</f>
        <v>717</v>
      </c>
      <c r="J47" s="50">
        <f>'Segmental forecast (2)'!J8</f>
        <v>1290.4712813823473</v>
      </c>
      <c r="K47" s="50">
        <f>'Segmental forecast (2)'!K8</f>
        <v>1438.4574826929331</v>
      </c>
      <c r="L47" s="50">
        <f>'Segmental forecast (2)'!L8</f>
        <v>1610.7469934160981</v>
      </c>
      <c r="M47" s="50">
        <f>'Segmental forecast (2)'!M8</f>
        <v>1811.7510402383245</v>
      </c>
      <c r="N47" s="50">
        <f>'Segmental forecast (2)'!N8</f>
        <v>2046.7713409784781</v>
      </c>
    </row>
    <row r="48" spans="1:15" x14ac:dyDescent="0.3">
      <c r="A48" t="s">
        <v>178</v>
      </c>
      <c r="B48" s="3">
        <f>'Historicals (2)'!B105</f>
        <v>1262</v>
      </c>
      <c r="C48" s="3">
        <f>'Historicals (2)'!C105</f>
        <v>748</v>
      </c>
      <c r="D48" s="3">
        <f>'Historicals (2)'!D105</f>
        <v>703</v>
      </c>
      <c r="E48" s="3">
        <f>'Historicals (2)'!E105</f>
        <v>529</v>
      </c>
      <c r="F48" s="3">
        <f>'Historicals (2)'!F105</f>
        <v>757</v>
      </c>
      <c r="G48" s="3">
        <f>'Historicals (2)'!G105</f>
        <v>1028</v>
      </c>
      <c r="H48" s="3">
        <f>'Historicals (2)'!H105</f>
        <v>1177</v>
      </c>
      <c r="I48" s="3">
        <f>'Historicals (2)'!I105</f>
        <v>1231</v>
      </c>
      <c r="J48" s="50">
        <f t="shared" ref="J48:N48" si="28">AVERAGE(E48:I48)</f>
        <v>944.4</v>
      </c>
      <c r="K48" s="50">
        <f t="shared" si="28"/>
        <v>1027.48</v>
      </c>
      <c r="L48" s="50">
        <f t="shared" si="28"/>
        <v>1081.5759999999998</v>
      </c>
      <c r="M48" s="50">
        <f t="shared" si="28"/>
        <v>1092.2912000000001</v>
      </c>
      <c r="N48" s="50">
        <f t="shared" si="28"/>
        <v>1075.34944</v>
      </c>
    </row>
    <row r="49" spans="1:15" x14ac:dyDescent="0.3">
      <c r="A49" s="1" t="s">
        <v>179</v>
      </c>
      <c r="B49" s="9">
        <f t="shared" ref="B49:N49" si="29">B46-B48</f>
        <v>2971</v>
      </c>
      <c r="C49" s="9">
        <f t="shared" si="29"/>
        <v>3894</v>
      </c>
      <c r="D49" s="9">
        <f t="shared" si="29"/>
        <v>4242</v>
      </c>
      <c r="E49" s="9">
        <f t="shared" si="29"/>
        <v>3850</v>
      </c>
      <c r="F49" s="9">
        <f t="shared" si="29"/>
        <v>4093</v>
      </c>
      <c r="G49" s="9">
        <f t="shared" si="29"/>
        <v>1948</v>
      </c>
      <c r="H49" s="9">
        <f t="shared" si="29"/>
        <v>5746</v>
      </c>
      <c r="I49" s="9">
        <f t="shared" si="29"/>
        <v>5625</v>
      </c>
      <c r="J49" s="9">
        <f t="shared" si="29"/>
        <v>4252.4000000000005</v>
      </c>
      <c r="K49" s="9">
        <f t="shared" si="29"/>
        <v>4332.8799999999992</v>
      </c>
      <c r="L49" s="9">
        <f t="shared" si="29"/>
        <v>4380.8559999999998</v>
      </c>
      <c r="M49" s="9">
        <f t="shared" si="29"/>
        <v>4867.4272000000001</v>
      </c>
      <c r="N49" s="9">
        <f t="shared" si="29"/>
        <v>4691.7126400000006</v>
      </c>
    </row>
    <row r="50" spans="1:15" x14ac:dyDescent="0.3">
      <c r="A50" t="s">
        <v>180</v>
      </c>
      <c r="B50" s="3">
        <f>'Historicals (2)'!B104</f>
        <v>53</v>
      </c>
      <c r="C50" s="3">
        <f>'Historicals (2)'!C104</f>
        <v>70</v>
      </c>
      <c r="D50" s="3">
        <f>'Historicals (2)'!D104</f>
        <v>98</v>
      </c>
      <c r="E50" s="3">
        <f>'Historicals (2)'!E104</f>
        <v>125</v>
      </c>
      <c r="F50" s="3">
        <f>'Historicals (2)'!F104</f>
        <v>153</v>
      </c>
      <c r="G50" s="3">
        <f>'Historicals (2)'!G104</f>
        <v>140</v>
      </c>
      <c r="H50" s="3">
        <f>'Historicals (2)'!H104</f>
        <v>293</v>
      </c>
      <c r="I50" s="3">
        <f>'Historicals (2)'!I104</f>
        <v>290</v>
      </c>
      <c r="J50" s="86">
        <f>+I69*9%</f>
        <v>-76.14</v>
      </c>
      <c r="K50" s="86">
        <f t="shared" ref="K50:N50" si="30">+J69*9%</f>
        <v>420.55373104709901</v>
      </c>
      <c r="L50" s="86">
        <f t="shared" si="30"/>
        <v>687.14796225308726</v>
      </c>
      <c r="M50" s="86">
        <f t="shared" si="30"/>
        <v>1013.7355108885902</v>
      </c>
      <c r="N50" s="86">
        <f t="shared" si="30"/>
        <v>1298.9725728428502</v>
      </c>
      <c r="O50" s="88" t="s">
        <v>250</v>
      </c>
    </row>
    <row r="51" spans="1:15" x14ac:dyDescent="0.3">
      <c r="A51" t="s">
        <v>181</v>
      </c>
      <c r="B51" s="3">
        <v>113</v>
      </c>
      <c r="C51" s="3">
        <f t="shared" ref="C51:N51" si="31">B23-C23</f>
        <v>-324</v>
      </c>
      <c r="D51" s="3">
        <f t="shared" si="31"/>
        <v>-796</v>
      </c>
      <c r="E51" s="3">
        <f t="shared" si="31"/>
        <v>204</v>
      </c>
      <c r="F51" s="3">
        <f t="shared" si="31"/>
        <v>-802</v>
      </c>
      <c r="G51" s="3">
        <f t="shared" si="31"/>
        <v>-586</v>
      </c>
      <c r="H51" s="3">
        <f t="shared" si="31"/>
        <v>-613</v>
      </c>
      <c r="I51" s="3">
        <f t="shared" si="31"/>
        <v>-1248</v>
      </c>
      <c r="J51" s="3">
        <f t="shared" si="31"/>
        <v>1148.9674495024192</v>
      </c>
      <c r="K51" s="3">
        <f t="shared" si="31"/>
        <v>217.37871724854085</v>
      </c>
      <c r="L51" s="3">
        <f t="shared" si="31"/>
        <v>414.43603198865276</v>
      </c>
      <c r="M51" s="3">
        <f t="shared" si="31"/>
        <v>413.66862841317288</v>
      </c>
      <c r="N51" s="3">
        <f t="shared" si="31"/>
        <v>-259.15061856579632</v>
      </c>
    </row>
    <row r="52" spans="1:15" x14ac:dyDescent="0.3">
      <c r="A52" s="1" t="s">
        <v>182</v>
      </c>
      <c r="B52" s="9">
        <f t="shared" ref="B52:N52" si="32">(B47+B49)-(B55-B51)</f>
        <v>4653</v>
      </c>
      <c r="C52" s="9">
        <f t="shared" si="32"/>
        <v>5362</v>
      </c>
      <c r="D52" s="9">
        <f t="shared" si="32"/>
        <v>5250</v>
      </c>
      <c r="E52" s="9">
        <f t="shared" si="32"/>
        <v>5853</v>
      </c>
      <c r="F52" s="9">
        <f t="shared" si="32"/>
        <v>5115</v>
      </c>
      <c r="G52" s="9">
        <f t="shared" si="32"/>
        <v>3169</v>
      </c>
      <c r="H52" s="9">
        <f t="shared" si="32"/>
        <v>6572</v>
      </c>
      <c r="I52" s="9">
        <f t="shared" si="32"/>
        <v>5852</v>
      </c>
      <c r="J52" s="9">
        <f t="shared" si="32"/>
        <v>7406.9123487471697</v>
      </c>
      <c r="K52" s="9">
        <f t="shared" si="32"/>
        <v>6663.2944043779198</v>
      </c>
      <c r="L52" s="9">
        <f t="shared" si="32"/>
        <v>7042.4151166679349</v>
      </c>
      <c r="M52" s="9">
        <f t="shared" si="32"/>
        <v>7693.1842748529498</v>
      </c>
      <c r="N52" s="9">
        <f t="shared" si="32"/>
        <v>7045.6729943264072</v>
      </c>
    </row>
    <row r="53" spans="1:15" x14ac:dyDescent="0.3">
      <c r="A53" t="s">
        <v>183</v>
      </c>
      <c r="B53" s="3">
        <f>'Historicals (2)'!B76-B49-B51-B47</f>
        <v>990</v>
      </c>
      <c r="C53" s="3">
        <f>'Historicals (2)'!C76-C49-C51-C47</f>
        <v>-1123</v>
      </c>
      <c r="D53" s="3">
        <f>'Historicals (2)'!D76-D49-D51-D47</f>
        <v>-299</v>
      </c>
      <c r="E53" s="3">
        <f>'Historicals (2)'!E76-E49-E51-E47</f>
        <v>154</v>
      </c>
      <c r="F53" s="3">
        <f>'Historicals (2)'!F76-F49-F51-F47</f>
        <v>1907</v>
      </c>
      <c r="G53" s="3">
        <f>'Historicals (2)'!G76-G49-G51-G47</f>
        <v>402</v>
      </c>
      <c r="H53" s="3">
        <f>'Historicals (2)'!H76-H49-H51-H47</f>
        <v>780</v>
      </c>
      <c r="I53" s="3">
        <f>'Historicals (2)'!I76-I49-I51-I47</f>
        <v>94</v>
      </c>
      <c r="J53" s="3">
        <f t="shared" ref="J53:N53" si="33">AVERAGE(E53:I53)</f>
        <v>667.4</v>
      </c>
      <c r="K53" s="3">
        <f t="shared" si="33"/>
        <v>770.08</v>
      </c>
      <c r="L53" s="3">
        <f t="shared" si="33"/>
        <v>542.69600000000003</v>
      </c>
      <c r="M53" s="3">
        <f t="shared" si="33"/>
        <v>570.83519999999999</v>
      </c>
      <c r="N53" s="3">
        <f t="shared" si="33"/>
        <v>529.00224000000003</v>
      </c>
    </row>
    <row r="54" spans="1:15" x14ac:dyDescent="0.3">
      <c r="A54" s="26" t="s">
        <v>184</v>
      </c>
      <c r="B54" s="25">
        <f t="shared" ref="B54:N54" si="34">B49+B51+B47+B53</f>
        <v>4680</v>
      </c>
      <c r="C54" s="25">
        <f t="shared" si="34"/>
        <v>3096</v>
      </c>
      <c r="D54" s="25">
        <f t="shared" si="34"/>
        <v>3846</v>
      </c>
      <c r="E54" s="25">
        <f t="shared" si="34"/>
        <v>4955</v>
      </c>
      <c r="F54" s="25">
        <f t="shared" si="34"/>
        <v>5903</v>
      </c>
      <c r="G54" s="25">
        <f t="shared" si="34"/>
        <v>2485</v>
      </c>
      <c r="H54" s="25">
        <f t="shared" si="34"/>
        <v>6657</v>
      </c>
      <c r="I54" s="25">
        <f t="shared" si="34"/>
        <v>5188</v>
      </c>
      <c r="J54" s="25">
        <f t="shared" si="34"/>
        <v>7359.2387308847665</v>
      </c>
      <c r="K54" s="25">
        <f t="shared" si="34"/>
        <v>6758.7961999414729</v>
      </c>
      <c r="L54" s="25">
        <f t="shared" si="34"/>
        <v>6948.7350254047506</v>
      </c>
      <c r="M54" s="25">
        <f t="shared" si="34"/>
        <v>7663.6820686514966</v>
      </c>
      <c r="N54" s="25">
        <f t="shared" si="34"/>
        <v>7008.3356024126824</v>
      </c>
    </row>
    <row r="55" spans="1:15" x14ac:dyDescent="0.3">
      <c r="A55" t="s">
        <v>135</v>
      </c>
      <c r="B55" s="3">
        <f>'Segmental forecast (2)'!B14*-1</f>
        <v>-963</v>
      </c>
      <c r="C55" s="3">
        <f>'Segmental forecast (2)'!C14*-1</f>
        <v>-1143</v>
      </c>
      <c r="D55" s="3">
        <f>'Segmental forecast (2)'!D14*-1</f>
        <v>-1105</v>
      </c>
      <c r="E55" s="3">
        <f>'Segmental forecast (2)'!E14*-1</f>
        <v>-1052</v>
      </c>
      <c r="F55" s="3">
        <f>'Segmental forecast (2)'!F14*-1</f>
        <v>-1119</v>
      </c>
      <c r="G55" s="3">
        <f>'Segmental forecast (2)'!G14*-1</f>
        <v>-1086</v>
      </c>
      <c r="H55" s="3">
        <f>'Segmental forecast (2)'!H14*-1</f>
        <v>-695</v>
      </c>
      <c r="I55" s="3">
        <f>'Segmental forecast (2)'!I14*-1</f>
        <v>-758</v>
      </c>
      <c r="J55" s="3">
        <f>+I55*(1+J72)</f>
        <v>-715.07361786240335</v>
      </c>
      <c r="K55" s="3">
        <f t="shared" ref="K55:N55" si="35">+J55*(1+K72)</f>
        <v>-674.57820443644653</v>
      </c>
      <c r="L55" s="3">
        <f t="shared" si="35"/>
        <v>-636.37609126318443</v>
      </c>
      <c r="M55" s="3">
        <f t="shared" si="35"/>
        <v>-600.33740620145159</v>
      </c>
      <c r="N55" s="3">
        <f>+M55*(1+N72)</f>
        <v>-566.33963191372459</v>
      </c>
    </row>
    <row r="56" spans="1:15" x14ac:dyDescent="0.3">
      <c r="A56" t="s">
        <v>185</v>
      </c>
      <c r="B56" s="3"/>
      <c r="C56" s="3"/>
      <c r="D56" s="3"/>
      <c r="E56" s="3"/>
      <c r="F56" s="3"/>
      <c r="G56" s="3"/>
      <c r="H56" s="3"/>
      <c r="I56" s="3"/>
      <c r="J56" s="3"/>
      <c r="K56" s="3"/>
      <c r="L56" s="3"/>
      <c r="M56" s="3"/>
      <c r="N56" s="3"/>
    </row>
    <row r="57" spans="1:15" x14ac:dyDescent="0.3">
      <c r="A57" t="s">
        <v>186</v>
      </c>
      <c r="B57" s="3">
        <f>'Historicals (2)'!B84+'Historicals (2)'!B78+'Historicals (2)'!B79+'Historicals (2)'!B80+'Historicals (2)'!B81+'Historicals (2)'!B83</f>
        <v>788</v>
      </c>
      <c r="C57" s="3">
        <f>'Historicals (2)'!C84+'Historicals (2)'!C78+'Historicals (2)'!C79+'Historicals (2)'!C80+'Historicals (2)'!C81+'Historicals (2)'!C83</f>
        <v>109</v>
      </c>
      <c r="D57" s="3">
        <f>'Historicals (2)'!D84+'Historicals (2)'!D78+'Historicals (2)'!D79+'Historicals (2)'!D80+'Historicals (2)'!D81+'Historicals (2)'!D83</f>
        <v>97</v>
      </c>
      <c r="E57" s="3">
        <f>'Historicals (2)'!E84+'Historicals (2)'!E78+'Historicals (2)'!E79+'Historicals (2)'!E80+'Historicals (2)'!E81+'Historicals (2)'!E83</f>
        <v>1304</v>
      </c>
      <c r="F57" s="3">
        <f>'Historicals (2)'!F84+'Historicals (2)'!F78+'Historicals (2)'!F79+'Historicals (2)'!F80+'Historicals (2)'!F81+'Historicals (2)'!F83</f>
        <v>855</v>
      </c>
      <c r="G57" s="3">
        <f>'Historicals (2)'!G84+'Historicals (2)'!G78+'Historicals (2)'!G79+'Historicals (2)'!G80+'Historicals (2)'!G81+'Historicals (2)'!G83</f>
        <v>58</v>
      </c>
      <c r="H57" s="3">
        <f>'Historicals (2)'!H84+'Historicals (2)'!H78+'Historicals (2)'!H79+'Historicals (2)'!H80+'Historicals (2)'!H81+'Historicals (2)'!H83</f>
        <v>-3105</v>
      </c>
      <c r="I57" s="3">
        <f>'Historicals (2)'!I84+'Historicals (2)'!I78+'Historicals (2)'!I79+'Historicals (2)'!I80+'Historicals (2)'!I81+'Historicals (2)'!I83</f>
        <v>-766</v>
      </c>
      <c r="J57" s="3"/>
      <c r="K57" s="3"/>
      <c r="L57" s="3"/>
      <c r="M57" s="3"/>
      <c r="N57" s="3"/>
    </row>
    <row r="58" spans="1:15" x14ac:dyDescent="0.3">
      <c r="A58" s="26" t="s">
        <v>187</v>
      </c>
      <c r="B58" s="25">
        <f t="shared" ref="B58:I58" si="36">B57+B56+B55</f>
        <v>-175</v>
      </c>
      <c r="C58" s="25">
        <f t="shared" si="36"/>
        <v>-1034</v>
      </c>
      <c r="D58" s="25">
        <f t="shared" si="36"/>
        <v>-1008</v>
      </c>
      <c r="E58" s="25">
        <f t="shared" si="36"/>
        <v>252</v>
      </c>
      <c r="F58" s="25">
        <f t="shared" si="36"/>
        <v>-264</v>
      </c>
      <c r="G58" s="25">
        <f t="shared" si="36"/>
        <v>-1028</v>
      </c>
      <c r="H58" s="25">
        <f t="shared" si="36"/>
        <v>-3800</v>
      </c>
      <c r="I58" s="25">
        <f t="shared" si="36"/>
        <v>-1524</v>
      </c>
      <c r="J58" s="83">
        <f>J57+J56+J55-J50</f>
        <v>-638.93361786240337</v>
      </c>
      <c r="K58" s="83">
        <f>K57+K56+K55-K50</f>
        <v>-1095.1319354835455</v>
      </c>
      <c r="L58" s="83">
        <f>L57+L56+L55-L50</f>
        <v>-1323.5240535162716</v>
      </c>
      <c r="M58" s="83">
        <f>M57+M56+M55-M50</f>
        <v>-1614.0729170900418</v>
      </c>
      <c r="N58" s="83">
        <f>N57+N56+N55-N50</f>
        <v>-1865.3122047565748</v>
      </c>
    </row>
    <row r="59" spans="1:15" x14ac:dyDescent="0.3">
      <c r="A59" t="s">
        <v>188</v>
      </c>
      <c r="B59" s="3">
        <f>'Historicals (2)'!B93+'Historicals (2)'!B91</f>
        <v>732</v>
      </c>
      <c r="C59" s="3">
        <f>'Historicals (2)'!C93+'Historicals (2)'!C91</f>
        <v>-2731</v>
      </c>
      <c r="D59" s="3">
        <f>'Historicals (2)'!D93+'Historicals (2)'!D91</f>
        <v>-2734</v>
      </c>
      <c r="E59" s="3">
        <f>'Historicals (2)'!E93+'Historicals (2)'!E91</f>
        <v>-3521</v>
      </c>
      <c r="F59" s="3">
        <f>'Historicals (2)'!F93+'Historicals (2)'!F91</f>
        <v>-3586</v>
      </c>
      <c r="G59" s="3">
        <f>'Historicals (2)'!G93+'Historicals (2)'!G91</f>
        <v>-2182</v>
      </c>
      <c r="H59" s="3">
        <f>'Historicals (2)'!H93+'Historicals (2)'!H91</f>
        <v>564</v>
      </c>
      <c r="I59" s="3">
        <f>'Historicals (2)'!I93+'Historicals (2)'!I91</f>
        <v>-2863</v>
      </c>
      <c r="J59" s="3">
        <f t="shared" ref="J59:N59" si="37">AVERAGE(E59:I59)</f>
        <v>-2317.6</v>
      </c>
      <c r="K59" s="3">
        <f t="shared" si="37"/>
        <v>-2076.92</v>
      </c>
      <c r="L59" s="3">
        <f t="shared" si="37"/>
        <v>-1775.104</v>
      </c>
      <c r="M59" s="3">
        <f t="shared" si="37"/>
        <v>-1693.7248</v>
      </c>
      <c r="N59" s="3">
        <f t="shared" si="37"/>
        <v>-2145.2697600000001</v>
      </c>
    </row>
    <row r="60" spans="1:15" x14ac:dyDescent="0.3">
      <c r="A60" s="51" t="s">
        <v>129</v>
      </c>
      <c r="B60" s="52"/>
      <c r="C60" s="52">
        <f t="shared" ref="C60:N60" si="38">+IFERROR(C59/B59-1,"nm")*-1</f>
        <v>4.7308743169398912</v>
      </c>
      <c r="D60" s="52">
        <f t="shared" si="38"/>
        <v>-1.0984987184181616E-3</v>
      </c>
      <c r="E60" s="52">
        <f t="shared" si="38"/>
        <v>-0.28785662033650339</v>
      </c>
      <c r="F60" s="52">
        <f t="shared" si="38"/>
        <v>-1.8460664583924924E-2</v>
      </c>
      <c r="G60" s="52">
        <f t="shared" si="38"/>
        <v>0.39152258784160621</v>
      </c>
      <c r="H60" s="52">
        <f t="shared" si="38"/>
        <v>1.2584784601283228</v>
      </c>
      <c r="I60" s="52">
        <f t="shared" si="38"/>
        <v>6.0762411347517729</v>
      </c>
      <c r="J60" s="52">
        <f t="shared" si="38"/>
        <v>0.19049947607404827</v>
      </c>
      <c r="K60" s="52">
        <f t="shared" si="38"/>
        <v>0.10384880911287531</v>
      </c>
      <c r="L60" s="52">
        <f t="shared" si="38"/>
        <v>0.14531903010226688</v>
      </c>
      <c r="M60" s="52">
        <f t="shared" si="38"/>
        <v>4.5844750504759224E-2</v>
      </c>
      <c r="N60" s="52">
        <f t="shared" si="38"/>
        <v>-0.26659877684969846</v>
      </c>
    </row>
    <row r="61" spans="1:15" x14ac:dyDescent="0.3">
      <c r="A61" t="s">
        <v>189</v>
      </c>
      <c r="B61" s="86">
        <f>-B17*B15</f>
        <v>-2534</v>
      </c>
      <c r="C61" s="86">
        <f t="shared" ref="C61:N61" si="39">-C17*C15</f>
        <v>-1022</v>
      </c>
      <c r="D61" s="86">
        <f t="shared" si="39"/>
        <v>-1133</v>
      </c>
      <c r="E61" s="86">
        <f t="shared" si="39"/>
        <v>-1243</v>
      </c>
      <c r="F61" s="86">
        <f t="shared" si="39"/>
        <v>-1332</v>
      </c>
      <c r="G61" s="86">
        <f t="shared" si="39"/>
        <v>-1452</v>
      </c>
      <c r="H61" s="86">
        <f t="shared" si="39"/>
        <v>-1638.0000000000002</v>
      </c>
      <c r="I61" s="86">
        <f t="shared" si="39"/>
        <v>-1836.9999999999998</v>
      </c>
      <c r="J61" s="86">
        <f t="shared" si="39"/>
        <v>-1955.2338791657071</v>
      </c>
      <c r="K61" s="86">
        <f t="shared" si="39"/>
        <v>-1831.7061399469476</v>
      </c>
      <c r="L61" s="86">
        <f t="shared" si="39"/>
        <v>-1770.7004314940007</v>
      </c>
      <c r="M61" s="86">
        <f t="shared" si="39"/>
        <v>-1833.9964631807893</v>
      </c>
      <c r="N61" s="86">
        <f t="shared" si="39"/>
        <v>-1656.7910842032088</v>
      </c>
    </row>
    <row r="62" spans="1:15" x14ac:dyDescent="0.3">
      <c r="A62" t="s">
        <v>190</v>
      </c>
      <c r="B62" s="3">
        <f>'Historicals (2)'!B87+'Historicals (2)'!B89+'Historicals (2)'!B90+'Historicals (2)'!B92+'Historicals (2)'!B88</f>
        <v>129</v>
      </c>
      <c r="C62" s="3">
        <f>'Historicals (2)'!C87+'Historicals (2)'!C89+'Historicals (2)'!C90+'Historicals (2)'!C92+'Historicals (2)'!C88</f>
        <v>1082</v>
      </c>
      <c r="D62" s="3">
        <f>'Historicals (2)'!D87+'Historicals (2)'!D89+'Historicals (2)'!D90+'Historicals (2)'!D92+'Historicals (2)'!D88</f>
        <v>1925</v>
      </c>
      <c r="E62" s="3">
        <f>'Historicals (2)'!E87+'Historicals (2)'!E89+'Historicals (2)'!E90+'Historicals (2)'!E92+'Historicals (2)'!E88</f>
        <v>-16</v>
      </c>
      <c r="F62" s="3">
        <f>'Historicals (2)'!F87+'Historicals (2)'!F89+'Historicals (2)'!F90+'Historicals (2)'!F92+'Historicals (2)'!F88</f>
        <v>-325</v>
      </c>
      <c r="G62" s="3">
        <f>'Historicals (2)'!G87+'Historicals (2)'!G89+'Historicals (2)'!G90+'Historicals (2)'!G92+'Historicals (2)'!G88</f>
        <v>6183</v>
      </c>
      <c r="H62" s="3">
        <f>'Historicals (2)'!H87+'Historicals (2)'!H89+'Historicals (2)'!H90+'Historicals (2)'!H92+'Historicals (2)'!H88</f>
        <v>-249</v>
      </c>
      <c r="I62" s="3">
        <f>'Historicals (2)'!I87+'Historicals (2)'!I89+'Historicals (2)'!I90+'Historicals (2)'!I92+'Historicals (2)'!I88</f>
        <v>15</v>
      </c>
      <c r="J62" s="84">
        <f t="shared" ref="J62:N63" si="40">AVERAGE(E62:I62)</f>
        <v>1121.5999999999999</v>
      </c>
      <c r="K62" s="84">
        <f t="shared" si="40"/>
        <v>1349.1200000000001</v>
      </c>
      <c r="L62" s="84">
        <f t="shared" si="40"/>
        <v>1683.9440000000002</v>
      </c>
      <c r="M62" s="84">
        <f t="shared" si="40"/>
        <v>784.13280000000009</v>
      </c>
      <c r="N62" s="84">
        <f t="shared" si="40"/>
        <v>990.75936000000024</v>
      </c>
    </row>
    <row r="63" spans="1:15" x14ac:dyDescent="0.3">
      <c r="A63" t="s">
        <v>191</v>
      </c>
      <c r="B63" s="3">
        <f>'Historicals (2)'!B95</f>
        <v>-899</v>
      </c>
      <c r="C63" s="3">
        <f>'Historicals (2)'!C95</f>
        <v>-22</v>
      </c>
      <c r="D63" s="3">
        <f>'Historicals (2)'!D95</f>
        <v>-29</v>
      </c>
      <c r="E63" s="3">
        <f>'Historicals (2)'!E95</f>
        <v>-55</v>
      </c>
      <c r="F63" s="3">
        <f>'Historicals (2)'!F95</f>
        <v>-50</v>
      </c>
      <c r="G63" s="3">
        <f>'Historicals (2)'!G95</f>
        <v>-58</v>
      </c>
      <c r="H63" s="3">
        <f>'Historicals (2)'!H95</f>
        <v>-136</v>
      </c>
      <c r="I63" s="3">
        <f>'Historicals (2)'!I95</f>
        <v>-151</v>
      </c>
      <c r="J63" s="84">
        <f t="shared" si="40"/>
        <v>-90</v>
      </c>
      <c r="K63" s="84">
        <f t="shared" si="40"/>
        <v>-97</v>
      </c>
      <c r="L63" s="84">
        <f t="shared" si="40"/>
        <v>-106.4</v>
      </c>
      <c r="M63" s="84">
        <f t="shared" si="40"/>
        <v>-116.08</v>
      </c>
      <c r="N63" s="84">
        <f t="shared" si="40"/>
        <v>-112.096</v>
      </c>
    </row>
    <row r="64" spans="1:15" x14ac:dyDescent="0.3">
      <c r="A64" s="26" t="s">
        <v>192</v>
      </c>
      <c r="B64" s="25">
        <f t="shared" ref="B64:N64" si="41">B59+B61+B62+B63</f>
        <v>-2572</v>
      </c>
      <c r="C64" s="25">
        <f t="shared" si="41"/>
        <v>-2693</v>
      </c>
      <c r="D64" s="25">
        <f t="shared" si="41"/>
        <v>-1971</v>
      </c>
      <c r="E64" s="25">
        <f t="shared" si="41"/>
        <v>-4835</v>
      </c>
      <c r="F64" s="25">
        <f t="shared" si="41"/>
        <v>-5293</v>
      </c>
      <c r="G64" s="25">
        <f t="shared" si="41"/>
        <v>2491</v>
      </c>
      <c r="H64" s="25">
        <f t="shared" si="41"/>
        <v>-1459.0000000000002</v>
      </c>
      <c r="I64" s="25">
        <f t="shared" si="41"/>
        <v>-4836</v>
      </c>
      <c r="J64" s="25">
        <f t="shared" si="41"/>
        <v>-3241.2338791657071</v>
      </c>
      <c r="K64" s="25">
        <f t="shared" si="41"/>
        <v>-2656.5061399469478</v>
      </c>
      <c r="L64" s="25">
        <f t="shared" si="41"/>
        <v>-1968.2604314940006</v>
      </c>
      <c r="M64" s="25">
        <f t="shared" si="41"/>
        <v>-2859.6684631807893</v>
      </c>
      <c r="N64" s="25">
        <f t="shared" si="41"/>
        <v>-2923.3974842032089</v>
      </c>
    </row>
    <row r="65" spans="1:14" x14ac:dyDescent="0.3">
      <c r="A65" t="s">
        <v>193</v>
      </c>
      <c r="B65" s="3">
        <f>'Historicals (2)'!B97</f>
        <v>-83</v>
      </c>
      <c r="C65" s="3">
        <f>'Historicals (2)'!C97</f>
        <v>-105</v>
      </c>
      <c r="D65" s="3">
        <f>'Historicals (2)'!D97</f>
        <v>-20</v>
      </c>
      <c r="E65" s="3">
        <f>'Historicals (2)'!E97</f>
        <v>45</v>
      </c>
      <c r="F65" s="3">
        <f>'Historicals (2)'!F97</f>
        <v>-129</v>
      </c>
      <c r="G65" s="3">
        <f>'Historicals (2)'!G97</f>
        <v>-66</v>
      </c>
      <c r="H65" s="3">
        <f>'Historicals (2)'!H97</f>
        <v>143</v>
      </c>
      <c r="I65" s="3">
        <f>'Historicals (2)'!I97</f>
        <v>-143</v>
      </c>
      <c r="J65" s="3">
        <f t="shared" ref="J65:N65" si="42">AVERAGE(E65:I65)</f>
        <v>-30</v>
      </c>
      <c r="K65" s="3">
        <f t="shared" si="42"/>
        <v>-45</v>
      </c>
      <c r="L65" s="3">
        <f t="shared" si="42"/>
        <v>-28.2</v>
      </c>
      <c r="M65" s="3">
        <f t="shared" si="42"/>
        <v>-20.64</v>
      </c>
      <c r="N65" s="3">
        <f t="shared" si="42"/>
        <v>-53.367999999999995</v>
      </c>
    </row>
    <row r="66" spans="1:14" x14ac:dyDescent="0.3">
      <c r="A66" s="26" t="s">
        <v>194</v>
      </c>
      <c r="B66" s="25">
        <f>B54+B58+B64+B65</f>
        <v>1850</v>
      </c>
      <c r="C66" s="25">
        <f t="shared" ref="C66:N66" si="43">C54+C58+C64+C65</f>
        <v>-736</v>
      </c>
      <c r="D66" s="25">
        <f t="shared" si="43"/>
        <v>847</v>
      </c>
      <c r="E66" s="25">
        <f t="shared" si="43"/>
        <v>417</v>
      </c>
      <c r="F66" s="25">
        <f t="shared" si="43"/>
        <v>217</v>
      </c>
      <c r="G66" s="25">
        <f t="shared" si="43"/>
        <v>3882</v>
      </c>
      <c r="H66" s="25">
        <f t="shared" si="43"/>
        <v>1540.9999999999998</v>
      </c>
      <c r="I66" s="25">
        <f t="shared" si="43"/>
        <v>-1315</v>
      </c>
      <c r="J66" s="25">
        <f t="shared" si="43"/>
        <v>3449.0712338566559</v>
      </c>
      <c r="K66" s="25">
        <f t="shared" si="43"/>
        <v>2962.1581245109801</v>
      </c>
      <c r="L66" s="25">
        <f t="shared" si="43"/>
        <v>3628.7505403944779</v>
      </c>
      <c r="M66" s="25">
        <f t="shared" si="43"/>
        <v>3169.3006883806661</v>
      </c>
      <c r="N66" s="25">
        <f t="shared" si="43"/>
        <v>2166.2579134528987</v>
      </c>
    </row>
    <row r="67" spans="1:14" x14ac:dyDescent="0.3">
      <c r="A67" t="s">
        <v>195</v>
      </c>
      <c r="B67" s="3">
        <f>'Historicals (2)'!B99</f>
        <v>2220</v>
      </c>
      <c r="C67" s="3">
        <f>'Historicals (2)'!C99</f>
        <v>3852</v>
      </c>
      <c r="D67" s="3">
        <f>'Historicals (2)'!D99</f>
        <v>3138</v>
      </c>
      <c r="E67" s="3">
        <f>'Historicals (2)'!E99</f>
        <v>3808</v>
      </c>
      <c r="F67" s="3">
        <f>'Historicals (2)'!F99</f>
        <v>4249</v>
      </c>
      <c r="G67" s="3">
        <f>'Historicals (2)'!G99</f>
        <v>4466</v>
      </c>
      <c r="H67" s="3">
        <f>'Historicals (2)'!H99</f>
        <v>8348</v>
      </c>
      <c r="I67" s="3">
        <f>'Historicals (2)'!I99</f>
        <v>9889</v>
      </c>
      <c r="J67" s="3">
        <f>I68</f>
        <v>8574</v>
      </c>
      <c r="K67" s="3">
        <f t="shared" ref="K67:N67" si="44">J68</f>
        <v>12023.071233856655</v>
      </c>
      <c r="L67" s="3">
        <f t="shared" si="44"/>
        <v>14985.229358367636</v>
      </c>
      <c r="M67" s="3">
        <f t="shared" si="44"/>
        <v>18613.979898762114</v>
      </c>
      <c r="N67" s="3">
        <f t="shared" si="44"/>
        <v>21783.280587142781</v>
      </c>
    </row>
    <row r="68" spans="1:14" ht="15" thickBot="1" x14ac:dyDescent="0.35">
      <c r="A68" s="6" t="s">
        <v>196</v>
      </c>
      <c r="B68" s="7">
        <f>'Historicals (2)'!B100</f>
        <v>3852</v>
      </c>
      <c r="C68" s="7">
        <f>'Historicals (2)'!C100</f>
        <v>3138</v>
      </c>
      <c r="D68" s="7">
        <f>'Historicals (2)'!D100</f>
        <v>3808</v>
      </c>
      <c r="E68" s="7">
        <f>'Historicals (2)'!E100</f>
        <v>4249</v>
      </c>
      <c r="F68" s="7">
        <f>'Historicals (2)'!F100</f>
        <v>4466</v>
      </c>
      <c r="G68" s="7">
        <f>'Historicals (2)'!G100</f>
        <v>8348</v>
      </c>
      <c r="H68" s="7">
        <f>'Historicals (2)'!H100</f>
        <v>9889</v>
      </c>
      <c r="I68" s="7">
        <f>'Historicals (2)'!I100</f>
        <v>8574</v>
      </c>
      <c r="J68" s="7">
        <f>J66+J67</f>
        <v>12023.071233856655</v>
      </c>
      <c r="K68" s="7">
        <f t="shared" ref="K68:N68" si="45">K66+K67</f>
        <v>14985.229358367636</v>
      </c>
      <c r="L68" s="7">
        <f t="shared" si="45"/>
        <v>18613.979898762114</v>
      </c>
      <c r="M68" s="7">
        <f t="shared" si="45"/>
        <v>21783.280587142781</v>
      </c>
      <c r="N68" s="7">
        <f t="shared" si="45"/>
        <v>23949.538500595678</v>
      </c>
    </row>
    <row r="69" spans="1:14" ht="15" thickTop="1" x14ac:dyDescent="0.3">
      <c r="A69" s="1" t="s">
        <v>197</v>
      </c>
      <c r="B69" s="46">
        <f>+B68-B36-B33</f>
        <v>2666</v>
      </c>
      <c r="C69" s="46">
        <f t="shared" ref="C69:N69" si="46">+C68-C36-C33</f>
        <v>1084</v>
      </c>
      <c r="D69" s="46">
        <f t="shared" si="46"/>
        <v>331</v>
      </c>
      <c r="E69" s="46">
        <f t="shared" si="46"/>
        <v>775</v>
      </c>
      <c r="F69" s="46">
        <f t="shared" si="46"/>
        <v>996</v>
      </c>
      <c r="G69" s="46">
        <f t="shared" si="46"/>
        <v>-1061</v>
      </c>
      <c r="H69" s="46">
        <f t="shared" si="46"/>
        <v>476</v>
      </c>
      <c r="I69" s="46">
        <f>+I68-I36-I33</f>
        <v>-846</v>
      </c>
      <c r="J69" s="46">
        <f t="shared" si="46"/>
        <v>4672.819233856656</v>
      </c>
      <c r="K69" s="46">
        <f t="shared" si="46"/>
        <v>7634.977358367637</v>
      </c>
      <c r="L69" s="46">
        <f t="shared" si="46"/>
        <v>11263.727898762114</v>
      </c>
      <c r="M69" s="46">
        <f t="shared" si="46"/>
        <v>14433.02858714278</v>
      </c>
      <c r="N69" s="46">
        <f t="shared" si="46"/>
        <v>16599.286500595677</v>
      </c>
    </row>
    <row r="70" spans="1:14" x14ac:dyDescent="0.3">
      <c r="B70" s="89">
        <f>+B50/B69</f>
        <v>1.9879969992498126E-2</v>
      </c>
      <c r="C70" s="89">
        <f t="shared" ref="C70:I70" si="47">+C50/C69</f>
        <v>6.4575645756457564E-2</v>
      </c>
      <c r="D70" s="89">
        <f t="shared" si="47"/>
        <v>0.29607250755287007</v>
      </c>
      <c r="E70" s="89">
        <f t="shared" si="47"/>
        <v>0.16129032258064516</v>
      </c>
      <c r="F70" s="89">
        <f t="shared" si="47"/>
        <v>0.1536144578313253</v>
      </c>
      <c r="G70" s="89">
        <f t="shared" si="47"/>
        <v>-0.13195098963242224</v>
      </c>
      <c r="H70" s="89">
        <f t="shared" si="47"/>
        <v>0.61554621848739499</v>
      </c>
      <c r="I70" s="89">
        <f t="shared" si="47"/>
        <v>-0.34278959810874704</v>
      </c>
    </row>
    <row r="72" spans="1:14" x14ac:dyDescent="0.3">
      <c r="A72" t="s">
        <v>251</v>
      </c>
      <c r="B72" s="89"/>
      <c r="C72" s="95">
        <f>+C55/B55-1</f>
        <v>0.18691588785046731</v>
      </c>
      <c r="D72" s="95">
        <f t="shared" ref="D72:I72" si="48">+D55/C55-1</f>
        <v>-3.3245844269466307E-2</v>
      </c>
      <c r="E72" s="95">
        <f t="shared" si="48"/>
        <v>-4.7963800904977427E-2</v>
      </c>
      <c r="F72" s="95">
        <f t="shared" si="48"/>
        <v>6.3688212927756727E-2</v>
      </c>
      <c r="G72" s="95">
        <f t="shared" si="48"/>
        <v>-2.9490616621983934E-2</v>
      </c>
      <c r="H72" s="95">
        <f t="shared" si="48"/>
        <v>-0.36003683241252304</v>
      </c>
      <c r="I72" s="95">
        <f t="shared" si="48"/>
        <v>9.0647482014388547E-2</v>
      </c>
      <c r="J72" s="96">
        <f>+AVERAGE(E72:I72)</f>
        <v>-5.6631110999467826E-2</v>
      </c>
      <c r="K72" s="96">
        <v>-5.6631110999467826E-2</v>
      </c>
      <c r="L72" s="96">
        <v>-5.6631110999467826E-2</v>
      </c>
      <c r="M72" s="96">
        <v>-5.6631110999467826E-2</v>
      </c>
      <c r="N72" s="96">
        <v>-5.6631110999467826E-2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Historicals</vt:lpstr>
      <vt:lpstr>Segmental forecast</vt:lpstr>
      <vt:lpstr>Three Statements</vt:lpstr>
      <vt:lpstr>Historicals (2)</vt:lpstr>
      <vt:lpstr>Segmental forecast (2)</vt:lpstr>
      <vt:lpstr>Three Statements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Rupen Shah</cp:lastModifiedBy>
  <dcterms:created xsi:type="dcterms:W3CDTF">2020-05-20T17:26:08Z</dcterms:created>
  <dcterms:modified xsi:type="dcterms:W3CDTF">2024-08-06T16:57:56Z</dcterms:modified>
</cp:coreProperties>
</file>