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Student\Downloads\Investment Banking 2024\"/>
    </mc:Choice>
  </mc:AlternateContent>
  <xr:revisionPtr revIDLastSave="0" documentId="13_ncr:1_{BEE2730C-42D4-411D-BAC4-CB1A1AD466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3" l="1"/>
  <c r="D30" i="3" s="1"/>
  <c r="E31" i="3"/>
  <c r="C31" i="3"/>
  <c r="C30" i="3" s="1"/>
  <c r="C19" i="2"/>
  <c r="D19" i="2"/>
  <c r="B19" i="2"/>
  <c r="C18" i="2"/>
  <c r="D18" i="2"/>
  <c r="B18" i="2"/>
  <c r="C17" i="2"/>
  <c r="D17" i="2"/>
  <c r="B17" i="2"/>
  <c r="C15" i="2"/>
  <c r="D15" i="2"/>
  <c r="C16" i="2"/>
  <c r="D16" i="2"/>
  <c r="B16" i="2"/>
  <c r="B15" i="2"/>
  <c r="G12" i="1"/>
  <c r="E30" i="3"/>
  <c r="D42" i="3"/>
  <c r="E42" i="3"/>
  <c r="D41" i="3"/>
  <c r="E41" i="3"/>
  <c r="C41" i="3"/>
  <c r="D22" i="3"/>
  <c r="E22" i="3"/>
  <c r="C22" i="3"/>
  <c r="D12" i="3"/>
  <c r="E12" i="3"/>
  <c r="C12" i="3"/>
  <c r="D17" i="3"/>
  <c r="E17" i="3"/>
  <c r="C17" i="3"/>
  <c r="D13" i="3"/>
  <c r="E13" i="3"/>
  <c r="C13" i="3"/>
  <c r="C14" i="3"/>
  <c r="C29" i="3"/>
  <c r="D29" i="3"/>
  <c r="E29" i="3"/>
  <c r="D28" i="3"/>
  <c r="E28" i="3"/>
  <c r="C28" i="3"/>
  <c r="D50" i="3"/>
  <c r="E50" i="3"/>
  <c r="C50" i="3"/>
  <c r="D51" i="3"/>
  <c r="E51" i="3"/>
  <c r="D43" i="3"/>
  <c r="E43" i="3"/>
  <c r="C43" i="3"/>
  <c r="D46" i="3"/>
  <c r="E46" i="3"/>
  <c r="C46" i="3"/>
  <c r="C24" i="2"/>
  <c r="D24" i="2"/>
  <c r="C23" i="2"/>
  <c r="D23" i="2"/>
  <c r="C22" i="2"/>
  <c r="D22" i="2"/>
  <c r="B22" i="2"/>
  <c r="H19" i="1"/>
  <c r="H18" i="1"/>
  <c r="I18" i="1"/>
  <c r="I19" i="1"/>
  <c r="H20" i="1"/>
  <c r="I20" i="1"/>
  <c r="H21" i="1"/>
  <c r="I21" i="1"/>
  <c r="H22" i="1"/>
  <c r="I22" i="1"/>
  <c r="G20" i="1"/>
  <c r="G21" i="1"/>
  <c r="G22" i="1"/>
  <c r="G19" i="1"/>
  <c r="G16" i="1"/>
  <c r="G17" i="1"/>
  <c r="G18" i="1"/>
  <c r="H16" i="1"/>
  <c r="H17" i="1"/>
  <c r="I16" i="1"/>
  <c r="I17" i="1"/>
  <c r="H15" i="1"/>
  <c r="I15" i="1"/>
  <c r="H13" i="1"/>
  <c r="I13" i="1"/>
  <c r="G13" i="1"/>
  <c r="G15" i="1"/>
  <c r="H12" i="1"/>
  <c r="I12" i="1"/>
  <c r="C42" i="3"/>
  <c r="C51" i="3"/>
  <c r="D47" i="3"/>
  <c r="E47" i="3"/>
  <c r="C47" i="3"/>
  <c r="D48" i="3"/>
  <c r="D49" i="3"/>
  <c r="E49" i="3"/>
  <c r="C49" i="3"/>
  <c r="B23" i="2"/>
  <c r="B24" i="2"/>
  <c r="E33" i="1"/>
  <c r="F33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4" i="1"/>
  <c r="F44" i="1"/>
  <c r="E45" i="1"/>
  <c r="F45" i="1"/>
  <c r="E46" i="1"/>
  <c r="F46" i="1"/>
  <c r="E47" i="1"/>
  <c r="F47" i="1"/>
  <c r="E48" i="1"/>
  <c r="F48" i="1"/>
  <c r="E51" i="1"/>
  <c r="F51" i="1"/>
  <c r="E52" i="1"/>
  <c r="F52" i="1"/>
  <c r="E53" i="1"/>
  <c r="F53" i="1"/>
  <c r="E54" i="1"/>
  <c r="F54" i="1"/>
  <c r="E55" i="1"/>
  <c r="F55" i="1"/>
  <c r="E56" i="1"/>
  <c r="F56" i="1"/>
  <c r="E59" i="1"/>
  <c r="F59" i="1"/>
  <c r="E60" i="1"/>
  <c r="F60" i="1"/>
  <c r="E61" i="1"/>
  <c r="F61" i="1"/>
  <c r="E62" i="1"/>
  <c r="F62" i="1"/>
  <c r="E65" i="1"/>
  <c r="F65" i="1"/>
  <c r="E66" i="1"/>
  <c r="F66" i="1"/>
  <c r="E67" i="1"/>
  <c r="F67" i="1"/>
  <c r="E68" i="1"/>
  <c r="F68" i="1"/>
  <c r="E69" i="1"/>
  <c r="F69" i="1"/>
  <c r="E73" i="1"/>
  <c r="F73" i="1"/>
  <c r="E76" i="1"/>
  <c r="F76" i="1"/>
  <c r="E79" i="1"/>
  <c r="F79" i="1"/>
  <c r="E80" i="1"/>
  <c r="F80" i="1"/>
  <c r="E81" i="1"/>
  <c r="F81" i="1"/>
  <c r="E82" i="1"/>
  <c r="F82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E110" i="1"/>
  <c r="F110" i="1"/>
  <c r="E113" i="1"/>
  <c r="F113" i="1"/>
  <c r="E114" i="1"/>
  <c r="F114" i="1"/>
  <c r="F10" i="1"/>
  <c r="F11" i="1"/>
  <c r="F12" i="1"/>
  <c r="F13" i="1"/>
  <c r="F15" i="1"/>
  <c r="F16" i="1"/>
  <c r="F17" i="1"/>
  <c r="F18" i="1"/>
  <c r="F19" i="1"/>
  <c r="F20" i="1"/>
  <c r="F21" i="1"/>
  <c r="F22" i="1"/>
  <c r="F24" i="1"/>
  <c r="F25" i="1"/>
  <c r="F27" i="1"/>
  <c r="F28" i="1"/>
  <c r="E10" i="1"/>
  <c r="E11" i="1"/>
  <c r="E12" i="1"/>
  <c r="E13" i="1"/>
  <c r="E15" i="1"/>
  <c r="E16" i="1"/>
  <c r="E17" i="1"/>
  <c r="E18" i="1"/>
  <c r="E19" i="1"/>
  <c r="E20" i="1"/>
  <c r="E21" i="1"/>
  <c r="E22" i="1"/>
  <c r="E24" i="1"/>
  <c r="E25" i="1"/>
  <c r="E27" i="1"/>
  <c r="E28" i="1"/>
  <c r="F6" i="1"/>
  <c r="F7" i="1"/>
  <c r="F8" i="1"/>
  <c r="E6" i="1"/>
  <c r="E7" i="1"/>
  <c r="E8" i="1"/>
  <c r="C20" i="3"/>
  <c r="C18" i="3"/>
  <c r="D21" i="3"/>
  <c r="D20" i="3" s="1"/>
  <c r="E21" i="3"/>
  <c r="E48" i="3" s="1"/>
  <c r="C21" i="3"/>
  <c r="C48" i="3" s="1"/>
  <c r="C19" i="3"/>
  <c r="D19" i="3"/>
  <c r="D18" i="3" s="1"/>
  <c r="E19" i="3"/>
  <c r="E18" i="3" s="1"/>
  <c r="D35" i="3"/>
  <c r="E35" i="3"/>
  <c r="C35" i="3"/>
  <c r="D36" i="3"/>
  <c r="E36" i="3"/>
  <c r="C36" i="3"/>
  <c r="D37" i="3"/>
  <c r="E37" i="3"/>
  <c r="C37" i="3"/>
  <c r="D34" i="3"/>
  <c r="E34" i="3"/>
  <c r="C34" i="3"/>
  <c r="C25" i="3"/>
  <c r="D25" i="3"/>
  <c r="E25" i="3"/>
  <c r="D40" i="3"/>
  <c r="E40" i="3"/>
  <c r="C40" i="3"/>
  <c r="D27" i="3"/>
  <c r="E27" i="3"/>
  <c r="C27" i="3"/>
  <c r="D26" i="3"/>
  <c r="E26" i="3"/>
  <c r="C26" i="3"/>
  <c r="E20" i="3" l="1"/>
  <c r="D108" i="1"/>
  <c r="C108" i="1"/>
  <c r="B108" i="1"/>
  <c r="D99" i="1"/>
  <c r="C99" i="1"/>
  <c r="B99" i="1"/>
  <c r="D68" i="1" l="1"/>
  <c r="C68" i="1"/>
  <c r="B68" i="1"/>
  <c r="D61" i="1"/>
  <c r="C61" i="1"/>
  <c r="B61" i="1"/>
  <c r="D56" i="1"/>
  <c r="E7" i="3" s="1"/>
  <c r="C56" i="1"/>
  <c r="B56" i="1"/>
  <c r="D47" i="1"/>
  <c r="C47" i="1"/>
  <c r="B47" i="1"/>
  <c r="D42" i="1"/>
  <c r="C42" i="1"/>
  <c r="B42" i="1"/>
  <c r="D17" i="1"/>
  <c r="C17" i="1"/>
  <c r="B17" i="1"/>
  <c r="D12" i="1"/>
  <c r="C12" i="1"/>
  <c r="B12" i="1"/>
  <c r="D8" i="1"/>
  <c r="C8" i="1"/>
  <c r="B8" i="1"/>
  <c r="E3" i="3"/>
  <c r="D3" i="3"/>
  <c r="C3" i="3"/>
  <c r="D33" i="1"/>
  <c r="D73" i="1" s="1"/>
  <c r="C33" i="1"/>
  <c r="C73" i="1" s="1"/>
  <c r="B33" i="1"/>
  <c r="B73" i="1" s="1"/>
  <c r="B13" i="1" l="1"/>
  <c r="C6" i="3"/>
  <c r="C5" i="3"/>
  <c r="C9" i="3"/>
  <c r="C11" i="3"/>
  <c r="C10" i="3"/>
  <c r="B62" i="1"/>
  <c r="B69" i="1" s="1"/>
  <c r="C7" i="3"/>
  <c r="C13" i="1"/>
  <c r="C18" i="1" s="1"/>
  <c r="C20" i="1" s="1"/>
  <c r="C22" i="1" s="1"/>
  <c r="C76" i="1" s="1"/>
  <c r="C91" i="1" s="1"/>
  <c r="C109" i="1" s="1"/>
  <c r="C62" i="1"/>
  <c r="D7" i="3"/>
  <c r="D13" i="1"/>
  <c r="D18" i="1" s="1"/>
  <c r="D20" i="1" s="1"/>
  <c r="D22" i="1" s="1"/>
  <c r="D76" i="1" s="1"/>
  <c r="D91" i="1" s="1"/>
  <c r="D8" i="3"/>
  <c r="D5" i="3"/>
  <c r="D6" i="3"/>
  <c r="D14" i="3"/>
  <c r="E6" i="3"/>
  <c r="E8" i="3"/>
  <c r="E5" i="3"/>
  <c r="E14" i="3"/>
  <c r="D9" i="3"/>
  <c r="D11" i="3"/>
  <c r="D10" i="3"/>
  <c r="E9" i="3"/>
  <c r="E11" i="3"/>
  <c r="E10" i="3"/>
  <c r="B48" i="1"/>
  <c r="B18" i="1"/>
  <c r="B20" i="1" s="1"/>
  <c r="B22" i="1" s="1"/>
  <c r="B76" i="1" s="1"/>
  <c r="C48" i="1"/>
  <c r="D62" i="1"/>
  <c r="D69" i="1" s="1"/>
  <c r="C69" i="1"/>
  <c r="D48" i="1"/>
  <c r="A47" i="3"/>
  <c r="A49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D109" i="1" l="1"/>
  <c r="F109" i="1" s="1"/>
  <c r="F91" i="1"/>
  <c r="B91" i="1"/>
  <c r="B109" i="1" s="1"/>
  <c r="C8" i="3"/>
  <c r="A24" i="3"/>
  <c r="A25" i="3" s="1"/>
  <c r="A26" i="3" s="1"/>
  <c r="A27" i="3" s="1"/>
  <c r="A28" i="3" s="1"/>
  <c r="A29" i="3" s="1"/>
  <c r="A30" i="3" s="1"/>
  <c r="A33" i="3"/>
  <c r="A39" i="3" l="1"/>
  <c r="A40" i="3" s="1"/>
  <c r="A41" i="3" s="1"/>
  <c r="A42" i="3" s="1"/>
  <c r="A43" i="3" s="1"/>
  <c r="A44" i="3" s="1"/>
  <c r="A46" i="3" s="1"/>
  <c r="A48" i="3" s="1"/>
  <c r="A50" i="3" s="1"/>
  <c r="A34" i="3"/>
  <c r="A35" i="3" s="1"/>
  <c r="A36" i="3" s="1"/>
  <c r="A37" i="3" s="1"/>
</calcChain>
</file>

<file path=xl/sharedStrings.xml><?xml version="1.0" encoding="utf-8"?>
<sst xmlns="http://schemas.openxmlformats.org/spreadsheetml/2006/main" count="183" uniqueCount="157">
  <si>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</si>
  <si>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</si>
  <si>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</si>
  <si>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</si>
  <si>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</si>
  <si>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</si>
  <si>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</si>
  <si>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</si>
  <si>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</si>
  <si>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</si>
  <si>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</si>
  <si>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</si>
  <si>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</si>
  <si>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</si>
  <si>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</si>
  <si>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</si>
  <si>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</si>
  <si>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</si>
  <si>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</si>
  <si>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</si>
  <si>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</si>
  <si>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</si>
  <si>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</si>
  <si>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</si>
  <si>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</si>
  <si>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</si>
  <si>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</si>
  <si>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</si>
  <si>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</si>
  <si>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</si>
  <si>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</si>
  <si>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</si>
  <si>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</si>
  <si>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</si>
  <si>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</si>
  <si>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</si>
  <si>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</si>
  <si>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</si>
  <si>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</si>
  <si>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</si>
  <si>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</si>
  <si>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</si>
  <si>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</si>
  <si>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</si>
  <si>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</si>
  <si>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</si>
  <si>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</si>
  <si>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</si>
  <si>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</si>
  <si>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</si>
  <si>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</si>
  <si>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</si>
  <si>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</si>
  <si>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</si>
  <si>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</si>
  <si>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</si>
  <si>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</si>
  <si>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</si>
  <si>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</si>
  <si>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</si>
  <si>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</si>
  <si>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</si>
  <si>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</si>
  <si>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</si>
  <si>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</si>
  <si>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</si>
  <si>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</si>
  <si>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</si>
  <si>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</si>
  <si>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</si>
  <si>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</si>
  <si>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</si>
  <si>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</si>
  <si>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</si>
  <si>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</si>
  <si>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</si>
  <si>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</si>
  <si>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</si>
  <si>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</si>
  <si>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</si>
  <si>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</si>
  <si>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</si>
  <si>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</si>
  <si>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</si>
  <si>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</si>
  <si>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</si>
  <si>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</si>
  <si>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</si>
  <si>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</si>
  <si>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</si>
  <si>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</si>
  <si>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</si>
  <si>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</si>
  <si>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</si>
  <si>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</si>
  <si>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</si>
  <si>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</si>
  <si>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</si>
  <si>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</si>
  <si>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</si>
  <si>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</si>
  <si>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</si>
  <si>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</si>
  <si>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</si>
  <si>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</si>
  <si>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</si>
  <si>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</si>
  <si>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</si>
  <si>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</si>
  <si>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</si>
  <si>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</si>
  <si>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</si>
  <si>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</si>
  <si>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</si>
  <si>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</si>
  <si>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</si>
  <si>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</si>
  <si>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</si>
  <si>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</si>
  <si>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</si>
  <si>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</si>
  <si>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</si>
  <si>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</si>
  <si>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</si>
  <si>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</si>
  <si>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</si>
  <si>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</si>
  <si>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</si>
  <si>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</si>
  <si>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</si>
  <si>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</si>
  <si>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</si>
  <si>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</si>
  <si>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</si>
  <si>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</si>
  <si>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</si>
  <si>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</si>
  <si>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</si>
  <si>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</si>
  <si>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</si>
  <si>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</si>
  <si>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</si>
  <si>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</si>
  <si>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</si>
  <si>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</si>
  <si>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</si>
  <si>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</si>
  <si>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</si>
  <si>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</si>
  <si>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</si>
  <si>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 xml:space="preserve">Growth </t>
  </si>
  <si>
    <t>Margins</t>
  </si>
  <si>
    <t xml:space="preserve">See on Financial Statements </t>
  </si>
  <si>
    <t>Avg Price 2022</t>
  </si>
  <si>
    <t>Avg Price 2021</t>
  </si>
  <si>
    <t xml:space="preserve">Avg Price 2020 </t>
  </si>
  <si>
    <t>calculated using Month starting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</si>
</sst>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0"/>
    <numFmt numFmtId="168" formatCode="0.0000"/>
    <numFmt numFmtId="169" formatCode="0.000"/>
    <numFmt numFmtId="170" formatCode="0.000000"/>
    <numFmt numFmtId="172" formatCode="0.0000%"/>
    <numFmt numFmtId="173" formatCode="#,##0.00000"/>
    <numFmt numFmtId="175" formatCode="_(* #,##0.0000_);_(* \(#,##0.0000\);_(* &quot;-&quot;??_);_(@_)"/>
    <numFmt numFmtId="179" formatCode="0.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5" fontId="0" fillId="0" borderId="0" xfId="1" applyNumberFormat="1" applyFont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6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9" fontId="0" fillId="0" borderId="0" xfId="3" applyFont="1"/>
    <xf numFmtId="165" fontId="0" fillId="0" borderId="0" xfId="0" applyNumberFormat="1"/>
    <xf numFmtId="170" fontId="0" fillId="0" borderId="0" xfId="0" applyNumberFormat="1"/>
    <xf numFmtId="164" fontId="0" fillId="0" borderId="0" xfId="1" applyFont="1"/>
    <xf numFmtId="172" fontId="0" fillId="0" borderId="0" xfId="3" applyNumberFormat="1" applyFont="1"/>
    <xf numFmtId="173" fontId="0" fillId="0" borderId="0" xfId="0" applyNumberForma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175" fontId="0" fillId="0" borderId="0" xfId="1" applyNumberFormat="1" applyFont="1"/>
    <xf numFmtId="179" fontId="0" fillId="0" borderId="0" xfId="0" applyNumberFormat="1"/>
  </cellXfs>
  <cellStyles count="4">
    <cellStyle name="Comma" xfId="1" builtinId="3"/>
    <cellStyle name="Hyperlink" xfId="2" builtinId="8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topLeftCell="A6" workbookViewId="0">
      <selection activeCell="B22" sqref="B22"/>
    </sheetView>
  </sheetViews>
  <sheetFormatPr defaultRowHeight="14.4" x14ac:dyDescent="0.3"/>
  <cols>
    <col min="1" max="1" width="104.5546875" customWidth="1"/>
    <col min="2" max="2" width="24.44140625" bestFit="1" customWidth="1"/>
    <col min="3" max="4" width="7.33203125" bestFit="1" customWidth="1"/>
  </cols>
  <sheetData>
    <row r="1" spans="1:4" ht="23.4" x14ac:dyDescent="0.45">
      <c r="A1" s="5" t="s">
        <v>87</v>
      </c>
    </row>
    <row r="3" spans="1:4" x14ac:dyDescent="0.3">
      <c r="A3" s="7" t="s">
        <v>141</v>
      </c>
    </row>
    <row r="4" spans="1:4" x14ac:dyDescent="0.3">
      <c r="A4" s="16" t="s">
        <v>88</v>
      </c>
    </row>
    <row r="5" spans="1:4" x14ac:dyDescent="0.3">
      <c r="A5" s="7" t="s">
        <v>97</v>
      </c>
    </row>
    <row r="6" spans="1:4" x14ac:dyDescent="0.3">
      <c r="A6" s="1" t="s">
        <v>148</v>
      </c>
    </row>
    <row r="7" spans="1:4" x14ac:dyDescent="0.3">
      <c r="A7" s="1"/>
    </row>
    <row r="8" spans="1:4" x14ac:dyDescent="0.3">
      <c r="A8" s="17" t="s">
        <v>149</v>
      </c>
    </row>
    <row r="9" spans="1:4" x14ac:dyDescent="0.3">
      <c r="A9" s="1" t="s">
        <v>145</v>
      </c>
      <c r="B9" t="s">
        <v>152</v>
      </c>
    </row>
    <row r="10" spans="1:4" x14ac:dyDescent="0.3">
      <c r="A10" s="1" t="s">
        <v>89</v>
      </c>
      <c r="B10" t="s">
        <v>152</v>
      </c>
    </row>
    <row r="11" spans="1:4" x14ac:dyDescent="0.3">
      <c r="A11" s="1" t="s">
        <v>90</v>
      </c>
      <c r="B11" t="s">
        <v>152</v>
      </c>
    </row>
    <row r="12" spans="1:4" x14ac:dyDescent="0.3">
      <c r="A12" s="1" t="s">
        <v>91</v>
      </c>
      <c r="B12" t="s">
        <v>152</v>
      </c>
    </row>
    <row r="13" spans="1:4" x14ac:dyDescent="0.3">
      <c r="A13" s="1"/>
    </row>
    <row r="14" spans="1:4" x14ac:dyDescent="0.3">
      <c r="A14" s="17" t="s">
        <v>92</v>
      </c>
      <c r="B14" s="7">
        <v>2022</v>
      </c>
      <c r="C14" s="7">
        <v>2021</v>
      </c>
      <c r="D14" s="7">
        <v>2020</v>
      </c>
    </row>
    <row r="15" spans="1:4" x14ac:dyDescent="0.3">
      <c r="A15" s="1" t="s">
        <v>146</v>
      </c>
      <c r="B15" s="24">
        <f>'Financial Statements'!G12</f>
        <v>43.309630561360088</v>
      </c>
      <c r="C15">
        <f>'Financial Statements'!H12</f>
        <v>41.779359625167778</v>
      </c>
      <c r="D15">
        <f>'Financial Statements'!I12</f>
        <v>38.233247727810863</v>
      </c>
    </row>
    <row r="16" spans="1:4" x14ac:dyDescent="0.3">
      <c r="A16" s="1" t="s">
        <v>89</v>
      </c>
      <c r="B16" s="24">
        <f>'Financial Statements'!G13</f>
        <v>56.690369438639912</v>
      </c>
      <c r="C16">
        <f>'Financial Statements'!H13</f>
        <v>58.220640374832222</v>
      </c>
      <c r="D16">
        <f>'Financial Statements'!I13</f>
        <v>61.76675227218913</v>
      </c>
    </row>
    <row r="17" spans="1:4" x14ac:dyDescent="0.3">
      <c r="A17" s="1" t="s">
        <v>90</v>
      </c>
      <c r="B17" s="24">
        <f>'Financial Statements'!G17</f>
        <v>86.979113834168515</v>
      </c>
      <c r="C17">
        <f>'Financial Statements'!H17</f>
        <v>88.003017902393822</v>
      </c>
      <c r="D17">
        <f>'Financial Statements'!I17</f>
        <v>85.914066626595996</v>
      </c>
    </row>
    <row r="18" spans="1:4" x14ac:dyDescent="0.3">
      <c r="A18" s="1" t="s">
        <v>14</v>
      </c>
      <c r="B18" s="24">
        <f>'Financial Statements'!G18</f>
        <v>69.711255604471404</v>
      </c>
      <c r="C18" s="24">
        <f>'Financial Statements'!H18</f>
        <v>70.217622472438407</v>
      </c>
      <c r="D18" s="24">
        <f>'Financial Statements'!I18</f>
        <v>75.852685645593127</v>
      </c>
    </row>
    <row r="19" spans="1:4" x14ac:dyDescent="0.3">
      <c r="A19" s="1" t="s">
        <v>93</v>
      </c>
      <c r="B19">
        <f>'Financial Statements'!G22</f>
        <v>74.690359294800274</v>
      </c>
      <c r="C19">
        <f>'Financial Statements'!H22</f>
        <v>74.118206644305758</v>
      </c>
      <c r="D19">
        <f>'Financial Statements'!I22</f>
        <v>79.086388721927761</v>
      </c>
    </row>
    <row r="20" spans="1:4" x14ac:dyDescent="0.3">
      <c r="A20" s="1"/>
    </row>
    <row r="21" spans="1:4" x14ac:dyDescent="0.3">
      <c r="A21" s="17" t="s">
        <v>98</v>
      </c>
    </row>
    <row r="22" spans="1:4" x14ac:dyDescent="0.3">
      <c r="A22" s="1" t="s">
        <v>94</v>
      </c>
      <c r="B22" s="26">
        <f>('Financial Statements'!B21/'Financial Statements'!B20)</f>
        <v>0.16204461684424407</v>
      </c>
      <c r="C22" s="26">
        <f>('Financial Statements'!C21/'Financial Statements'!C20)</f>
        <v>0.13302260844085087</v>
      </c>
      <c r="D22" s="26">
        <f>('Financial Statements'!D21/'Financial Statements'!D20)</f>
        <v>0.14428164731484103</v>
      </c>
    </row>
    <row r="23" spans="1:4" x14ac:dyDescent="0.3">
      <c r="A23" s="1" t="s">
        <v>95</v>
      </c>
      <c r="B23" s="26">
        <f>('Financial Statements'!B45-'Financial Statements'!C45+'Financial Statements'!B79)/'Financial Statements'!B8*100</f>
        <v>3.4948063541011543</v>
      </c>
      <c r="C23" s="26">
        <f>('Financial Statements'!C45-'Financial Statements'!D45+'Financial Statements'!C79)/'Financial Statements'!C8*100</f>
        <v>3.815568986679132</v>
      </c>
      <c r="D23" s="26">
        <f>('Financial Statements'!D45-'Financial Statements'!E45+'Financial Statements'!D79)/'Financial Statements'!D8*100</f>
        <v>17.420516957086658</v>
      </c>
    </row>
    <row r="24" spans="1:4" x14ac:dyDescent="0.3">
      <c r="A24" s="1" t="s">
        <v>96</v>
      </c>
      <c r="B24" s="26">
        <f>('Financial Statements'!B45-'Financial Statements'!C45+'Financial Statements'!B79)/'Financial Statements'!B47*100</f>
        <v>6.3404646882907754</v>
      </c>
      <c r="C24" s="26">
        <f>('Financial Statements'!C45-'Financial Statements'!D45+'Financial Statements'!C79)/'Financial Statements'!C47*100</f>
        <v>6.4570746555887597</v>
      </c>
      <c r="D24" s="26">
        <f>('Financial Statements'!D45-'Financial Statements'!E45+'Financial Statements'!D79)/'Financial Statements'!D47*100</f>
        <v>26.541935409877311</v>
      </c>
    </row>
    <row r="25" spans="1:4" x14ac:dyDescent="0.3">
      <c r="A25" s="1"/>
    </row>
    <row r="26" spans="1:4" x14ac:dyDescent="0.3">
      <c r="A26" s="17" t="s">
        <v>144</v>
      </c>
    </row>
    <row r="28" spans="1:4" x14ac:dyDescent="0.3">
      <c r="A28" s="16" t="s">
        <v>143</v>
      </c>
    </row>
    <row r="29" spans="1:4" x14ac:dyDescent="0.3">
      <c r="A29" s="7" t="s">
        <v>147</v>
      </c>
    </row>
  </sheetData>
  <hyperlinks>
    <hyperlink ref="A4" r:id="rId1" xr:uid="{00000000-0004-0000-0000-000000000000}"/>
    <hyperlink ref="A28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opLeftCell="A86" workbookViewId="0">
      <selection activeCell="G22" sqref="G22"/>
    </sheetView>
  </sheetViews>
  <sheetFormatPr defaultRowHeight="14.4" x14ac:dyDescent="0.3"/>
  <cols>
    <col min="1" max="1" width="59" customWidth="1"/>
    <col min="2" max="3" width="11.5546875" bestFit="1" customWidth="1"/>
    <col min="4" max="4" width="11.6640625" bestFit="1" customWidth="1"/>
    <col min="5" max="7" width="12" bestFit="1" customWidth="1"/>
  </cols>
  <sheetData>
    <row r="1" spans="1:10" ht="60" customHeight="1" x14ac:dyDescent="0.3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3">
      <c r="A2" s="33" t="s">
        <v>1</v>
      </c>
      <c r="B2" s="33"/>
      <c r="C2" s="33"/>
      <c r="D2" s="33"/>
    </row>
    <row r="3" spans="1:10" x14ac:dyDescent="0.3">
      <c r="B3" s="32" t="s">
        <v>23</v>
      </c>
      <c r="C3" s="32"/>
      <c r="D3" s="32"/>
      <c r="E3" s="7" t="s">
        <v>150</v>
      </c>
      <c r="G3" t="s">
        <v>151</v>
      </c>
    </row>
    <row r="4" spans="1:10" x14ac:dyDescent="0.3">
      <c r="B4" s="7">
        <v>2022</v>
      </c>
      <c r="C4" s="7">
        <v>2021</v>
      </c>
      <c r="D4" s="7">
        <v>2020</v>
      </c>
      <c r="E4" s="7">
        <v>2022</v>
      </c>
      <c r="F4" s="7">
        <v>2021</v>
      </c>
      <c r="G4" s="7">
        <v>2022</v>
      </c>
      <c r="H4" s="7">
        <v>2021</v>
      </c>
      <c r="I4" s="7">
        <v>2020</v>
      </c>
    </row>
    <row r="5" spans="1:10" x14ac:dyDescent="0.3">
      <c r="A5" t="s">
        <v>3</v>
      </c>
      <c r="B5" s="27"/>
      <c r="E5" s="26"/>
      <c r="F5" s="26"/>
    </row>
    <row r="6" spans="1:10" x14ac:dyDescent="0.3">
      <c r="A6" s="1" t="s">
        <v>4</v>
      </c>
      <c r="B6" s="12">
        <v>316199</v>
      </c>
      <c r="C6" s="12">
        <v>297392</v>
      </c>
      <c r="D6" s="12">
        <v>220747</v>
      </c>
      <c r="E6" s="26">
        <f t="shared" ref="E6:F7" si="0">(B6-C6)/C6</f>
        <v>6.3239764351428418E-2</v>
      </c>
      <c r="F6" s="26">
        <f t="shared" si="0"/>
        <v>0.34720743656765435</v>
      </c>
      <c r="G6" s="26"/>
    </row>
    <row r="7" spans="1:10" x14ac:dyDescent="0.3">
      <c r="A7" s="1" t="s">
        <v>5</v>
      </c>
      <c r="B7" s="12">
        <v>78129</v>
      </c>
      <c r="C7" s="12">
        <v>68425</v>
      </c>
      <c r="D7" s="12">
        <v>53768</v>
      </c>
      <c r="E7" s="26">
        <f t="shared" si="0"/>
        <v>0.14181951041286078</v>
      </c>
      <c r="F7" s="26">
        <f t="shared" si="0"/>
        <v>0.27259708376729652</v>
      </c>
      <c r="G7" s="26"/>
    </row>
    <row r="8" spans="1:10" x14ac:dyDescent="0.3">
      <c r="A8" s="8" t="s">
        <v>6</v>
      </c>
      <c r="B8" s="13">
        <f>+B6+B7</f>
        <v>394328</v>
      </c>
      <c r="C8" s="13">
        <f>+C6+C7</f>
        <v>365817</v>
      </c>
      <c r="D8" s="13">
        <f>+D6+D7</f>
        <v>274515</v>
      </c>
      <c r="E8" s="26">
        <f>(B8-C8)/C8</f>
        <v>7.7937876041846058E-2</v>
      </c>
      <c r="F8" s="26">
        <f>(C8-D8)/D8</f>
        <v>0.33259384733074693</v>
      </c>
      <c r="G8" s="26"/>
    </row>
    <row r="9" spans="1:10" x14ac:dyDescent="0.3">
      <c r="A9" t="s">
        <v>7</v>
      </c>
      <c r="B9" s="12"/>
      <c r="C9" s="12"/>
      <c r="D9" s="12"/>
      <c r="E9" s="26"/>
      <c r="F9" s="26"/>
    </row>
    <row r="10" spans="1:10" x14ac:dyDescent="0.3">
      <c r="A10" s="1" t="s">
        <v>4</v>
      </c>
      <c r="B10" s="12">
        <v>201471</v>
      </c>
      <c r="C10" s="12">
        <v>192266</v>
      </c>
      <c r="D10" s="12">
        <v>151286</v>
      </c>
      <c r="E10" s="26">
        <f t="shared" ref="E10:E28" si="1">(B10-C10)/C10</f>
        <v>4.7876379599097081E-2</v>
      </c>
      <c r="F10" s="26">
        <f t="shared" ref="F10:F28" si="2">(C10-D10)/D10</f>
        <v>0.27087767539626934</v>
      </c>
    </row>
    <row r="11" spans="1:10" x14ac:dyDescent="0.3">
      <c r="A11" s="1" t="s">
        <v>5</v>
      </c>
      <c r="B11" s="12">
        <v>22075</v>
      </c>
      <c r="C11" s="12">
        <v>20715</v>
      </c>
      <c r="D11" s="12">
        <v>18273</v>
      </c>
      <c r="E11" s="26">
        <f t="shared" si="1"/>
        <v>6.5652908520395847E-2</v>
      </c>
      <c r="F11" s="26">
        <f t="shared" si="2"/>
        <v>0.13363979642094895</v>
      </c>
    </row>
    <row r="12" spans="1:10" x14ac:dyDescent="0.3">
      <c r="A12" s="8" t="s">
        <v>8</v>
      </c>
      <c r="B12" s="13">
        <f>+B10+B11</f>
        <v>223546</v>
      </c>
      <c r="C12" s="13">
        <f>+C10+C11</f>
        <v>212981</v>
      </c>
      <c r="D12" s="13">
        <f>+D10+D11</f>
        <v>169559</v>
      </c>
      <c r="E12" s="26">
        <f t="shared" si="1"/>
        <v>4.9605363858747961E-2</v>
      </c>
      <c r="F12" s="26">
        <f t="shared" si="2"/>
        <v>0.25608785142634716</v>
      </c>
      <c r="G12" s="29">
        <f>((B8-B12)/B8)*100</f>
        <v>43.309630561360088</v>
      </c>
      <c r="H12" s="29">
        <f t="shared" ref="H12:I12" si="3">((C8-C12)/C8)*100</f>
        <v>41.779359625167778</v>
      </c>
      <c r="I12" s="29">
        <f t="shared" si="3"/>
        <v>38.233247727810863</v>
      </c>
    </row>
    <row r="13" spans="1:10" x14ac:dyDescent="0.3">
      <c r="A13" s="8" t="s">
        <v>9</v>
      </c>
      <c r="B13" s="13">
        <f>+B8-B12</f>
        <v>170782</v>
      </c>
      <c r="C13" s="13">
        <f>+C8-C12</f>
        <v>152836</v>
      </c>
      <c r="D13" s="13">
        <f>+D8-D12</f>
        <v>104956</v>
      </c>
      <c r="E13" s="26">
        <f t="shared" si="1"/>
        <v>0.11741997958596143</v>
      </c>
      <c r="F13" s="26">
        <f t="shared" si="2"/>
        <v>0.45619116582186819</v>
      </c>
      <c r="G13" s="29">
        <f>((B8-B13)/B8)*100</f>
        <v>56.690369438639912</v>
      </c>
      <c r="H13" s="29">
        <f t="shared" ref="H13:I13" si="4">((C8-C13)/C8)*100</f>
        <v>58.220640374832222</v>
      </c>
      <c r="I13" s="29">
        <f t="shared" si="4"/>
        <v>61.76675227218913</v>
      </c>
    </row>
    <row r="14" spans="1:10" x14ac:dyDescent="0.3">
      <c r="A14" t="s">
        <v>10</v>
      </c>
      <c r="B14" s="12"/>
      <c r="C14" s="12"/>
      <c r="D14" s="12"/>
      <c r="E14" s="26"/>
      <c r="F14" s="26"/>
      <c r="G14" s="26"/>
      <c r="H14" s="26"/>
      <c r="I14" s="26"/>
    </row>
    <row r="15" spans="1:10" x14ac:dyDescent="0.3">
      <c r="A15" s="1" t="s">
        <v>11</v>
      </c>
      <c r="B15" s="12">
        <v>26251</v>
      </c>
      <c r="C15" s="12">
        <v>21914</v>
      </c>
      <c r="D15" s="12">
        <v>18752</v>
      </c>
      <c r="E15" s="26">
        <f t="shared" si="1"/>
        <v>0.19791001186456147</v>
      </c>
      <c r="F15" s="26">
        <f t="shared" si="2"/>
        <v>0.16862201365187712</v>
      </c>
      <c r="G15" s="29">
        <f t="shared" ref="G15:G22" si="5">(B$8-B15)/B$8*100</f>
        <v>93.342851636201331</v>
      </c>
      <c r="H15" s="29">
        <f t="shared" ref="H15:H22" si="6">(C$8-C15)/C$8*100</f>
        <v>94.009573092557204</v>
      </c>
      <c r="I15" s="29">
        <f t="shared" ref="I15:I22" si="7">(D$8-D15)/D$8*100</f>
        <v>93.169043585960694</v>
      </c>
    </row>
    <row r="16" spans="1:10" x14ac:dyDescent="0.3">
      <c r="A16" s="1" t="s">
        <v>12</v>
      </c>
      <c r="B16" s="12">
        <v>25094</v>
      </c>
      <c r="C16" s="12">
        <v>21973</v>
      </c>
      <c r="D16" s="12">
        <v>19916</v>
      </c>
      <c r="E16" s="26">
        <f t="shared" si="1"/>
        <v>0.14203795567287125</v>
      </c>
      <c r="F16" s="26">
        <f t="shared" si="2"/>
        <v>0.10328379192608958</v>
      </c>
      <c r="G16" s="29">
        <f t="shared" si="5"/>
        <v>93.636262197967184</v>
      </c>
      <c r="H16" s="29">
        <f t="shared" si="6"/>
        <v>93.993444809836618</v>
      </c>
      <c r="I16" s="29">
        <f t="shared" si="7"/>
        <v>92.745023040635303</v>
      </c>
    </row>
    <row r="17" spans="1:9" x14ac:dyDescent="0.3">
      <c r="A17" s="8" t="s">
        <v>13</v>
      </c>
      <c r="B17" s="13">
        <f>+B15+B16</f>
        <v>51345</v>
      </c>
      <c r="C17" s="13">
        <f>+C15+C16</f>
        <v>43887</v>
      </c>
      <c r="D17" s="13">
        <f>+D15+D16</f>
        <v>38668</v>
      </c>
      <c r="E17" s="26">
        <f t="shared" si="1"/>
        <v>0.16993642764372138</v>
      </c>
      <c r="F17" s="26">
        <f t="shared" si="2"/>
        <v>0.13496948381090307</v>
      </c>
      <c r="G17" s="29">
        <f t="shared" si="5"/>
        <v>86.979113834168515</v>
      </c>
      <c r="H17" s="29">
        <f t="shared" si="6"/>
        <v>88.003017902393822</v>
      </c>
      <c r="I17" s="29">
        <f t="shared" si="7"/>
        <v>85.914066626595996</v>
      </c>
    </row>
    <row r="18" spans="1:9" s="7" customFormat="1" x14ac:dyDescent="0.3">
      <c r="A18" s="8" t="s">
        <v>14</v>
      </c>
      <c r="B18" s="13">
        <f>+B13-B17</f>
        <v>119437</v>
      </c>
      <c r="C18" s="13">
        <f>+C13-C17</f>
        <v>108949</v>
      </c>
      <c r="D18" s="13">
        <f>+D13-D17</f>
        <v>66288</v>
      </c>
      <c r="E18" s="26">
        <f t="shared" si="1"/>
        <v>9.6265225013538444E-2</v>
      </c>
      <c r="F18" s="26">
        <f t="shared" si="2"/>
        <v>0.64357048032826458</v>
      </c>
      <c r="G18" s="29">
        <f t="shared" si="5"/>
        <v>69.711255604471404</v>
      </c>
      <c r="H18" s="29">
        <f t="shared" si="6"/>
        <v>70.217622472438407</v>
      </c>
      <c r="I18" s="29">
        <f t="shared" si="7"/>
        <v>75.852685645593127</v>
      </c>
    </row>
    <row r="19" spans="1:9" x14ac:dyDescent="0.3">
      <c r="A19" t="s">
        <v>15</v>
      </c>
      <c r="B19" s="12">
        <v>-334</v>
      </c>
      <c r="C19" s="12">
        <v>258</v>
      </c>
      <c r="D19" s="12">
        <v>803</v>
      </c>
      <c r="E19" s="26">
        <f t="shared" si="1"/>
        <v>-2.2945736434108528</v>
      </c>
      <c r="F19" s="26">
        <f t="shared" si="2"/>
        <v>-0.67870485678704862</v>
      </c>
      <c r="G19" s="29">
        <f t="shared" si="5"/>
        <v>100.08470106104564</v>
      </c>
      <c r="H19" s="29">
        <f>(C$8-C19)/C$8*100</f>
        <v>99.929472933187895</v>
      </c>
      <c r="I19" s="29">
        <f t="shared" si="7"/>
        <v>99.707484108336516</v>
      </c>
    </row>
    <row r="20" spans="1:9" x14ac:dyDescent="0.3">
      <c r="A20" s="8" t="s">
        <v>16</v>
      </c>
      <c r="B20" s="13">
        <f>+B18+B19</f>
        <v>119103</v>
      </c>
      <c r="C20" s="13">
        <f>+C18+C19</f>
        <v>109207</v>
      </c>
      <c r="D20" s="13">
        <f>+D18+D19</f>
        <v>67091</v>
      </c>
      <c r="E20" s="26">
        <f t="shared" si="1"/>
        <v>9.0616901846951203E-2</v>
      </c>
      <c r="F20" s="26">
        <f t="shared" si="2"/>
        <v>0.62774440685039723</v>
      </c>
      <c r="G20" s="29">
        <f t="shared" si="5"/>
        <v>69.795956665517039</v>
      </c>
      <c r="H20" s="29">
        <f t="shared" si="6"/>
        <v>70.147095405626317</v>
      </c>
      <c r="I20" s="29">
        <f t="shared" si="7"/>
        <v>75.560169753929657</v>
      </c>
    </row>
    <row r="21" spans="1:9" x14ac:dyDescent="0.3">
      <c r="A21" t="s">
        <v>17</v>
      </c>
      <c r="B21" s="12">
        <v>19300</v>
      </c>
      <c r="C21" s="12">
        <v>14527</v>
      </c>
      <c r="D21" s="12">
        <v>9680</v>
      </c>
      <c r="E21" s="26">
        <f t="shared" si="1"/>
        <v>0.32856061127555586</v>
      </c>
      <c r="F21" s="26">
        <f t="shared" si="2"/>
        <v>0.50072314049586775</v>
      </c>
      <c r="G21" s="29">
        <f t="shared" si="5"/>
        <v>95.105597370716765</v>
      </c>
      <c r="H21" s="29">
        <f t="shared" si="6"/>
        <v>96.028888761320559</v>
      </c>
      <c r="I21" s="29">
        <f t="shared" si="7"/>
        <v>96.473781032001895</v>
      </c>
    </row>
    <row r="22" spans="1:9" ht="15" thickBot="1" x14ac:dyDescent="0.35">
      <c r="A22" s="9" t="s">
        <v>18</v>
      </c>
      <c r="B22" s="14">
        <f>+B20-B21</f>
        <v>99803</v>
      </c>
      <c r="C22" s="14">
        <f>+C20-C21</f>
        <v>94680</v>
      </c>
      <c r="D22" s="14">
        <f>+D20-D21</f>
        <v>57411</v>
      </c>
      <c r="E22" s="26">
        <f t="shared" si="1"/>
        <v>5.4108576256865229E-2</v>
      </c>
      <c r="F22" s="26">
        <f t="shared" si="2"/>
        <v>0.64916131055024295</v>
      </c>
      <c r="G22" s="29">
        <f t="shared" si="5"/>
        <v>74.690359294800274</v>
      </c>
      <c r="H22" s="29">
        <f t="shared" si="6"/>
        <v>74.118206644305758</v>
      </c>
      <c r="I22" s="29">
        <f t="shared" si="7"/>
        <v>79.086388721927761</v>
      </c>
    </row>
    <row r="23" spans="1:9" ht="15" thickTop="1" x14ac:dyDescent="0.3">
      <c r="A23" t="s">
        <v>19</v>
      </c>
      <c r="E23" s="26"/>
      <c r="F23" s="26"/>
      <c r="G23" s="29"/>
      <c r="H23" s="29"/>
      <c r="I23" s="29"/>
    </row>
    <row r="24" spans="1:9" x14ac:dyDescent="0.3">
      <c r="A24" s="1" t="s">
        <v>20</v>
      </c>
      <c r="B24" s="10">
        <v>6.15</v>
      </c>
      <c r="C24" s="10">
        <v>5.67</v>
      </c>
      <c r="D24" s="10">
        <v>3.31</v>
      </c>
      <c r="E24" s="26">
        <f t="shared" si="1"/>
        <v>8.4656084656084735E-2</v>
      </c>
      <c r="F24" s="26">
        <f t="shared" si="2"/>
        <v>0.71299093655589119</v>
      </c>
      <c r="G24" s="29"/>
      <c r="H24" s="29"/>
      <c r="I24" s="29"/>
    </row>
    <row r="25" spans="1:9" x14ac:dyDescent="0.3">
      <c r="A25" s="1" t="s">
        <v>21</v>
      </c>
      <c r="B25" s="10">
        <v>6.11</v>
      </c>
      <c r="C25" s="10">
        <v>5.61</v>
      </c>
      <c r="D25" s="10">
        <v>3.28</v>
      </c>
      <c r="E25" s="26">
        <f t="shared" si="1"/>
        <v>8.9126559714795009E-2</v>
      </c>
      <c r="F25" s="26">
        <f t="shared" si="2"/>
        <v>0.71036585365853677</v>
      </c>
      <c r="G25" s="29"/>
      <c r="H25" s="29"/>
      <c r="I25" s="29"/>
    </row>
    <row r="26" spans="1:9" x14ac:dyDescent="0.3">
      <c r="A26" t="s">
        <v>22</v>
      </c>
      <c r="E26" s="26"/>
      <c r="F26" s="26"/>
      <c r="G26" s="29"/>
      <c r="H26" s="29"/>
      <c r="I26" s="29"/>
    </row>
    <row r="27" spans="1:9" x14ac:dyDescent="0.3">
      <c r="A27" s="1" t="s">
        <v>20</v>
      </c>
      <c r="B27" s="2">
        <v>16215963</v>
      </c>
      <c r="C27" s="2">
        <v>16701272</v>
      </c>
      <c r="D27" s="2">
        <v>17352119</v>
      </c>
      <c r="E27" s="26">
        <f t="shared" si="1"/>
        <v>-2.9058205865996313E-2</v>
      </c>
      <c r="F27" s="26">
        <f t="shared" si="2"/>
        <v>-3.7508214414619906E-2</v>
      </c>
      <c r="G27" s="29"/>
      <c r="H27" s="29"/>
      <c r="I27" s="29"/>
    </row>
    <row r="28" spans="1:9" x14ac:dyDescent="0.3">
      <c r="A28" s="1" t="s">
        <v>21</v>
      </c>
      <c r="B28" s="2">
        <v>16325819</v>
      </c>
      <c r="C28" s="2">
        <v>16864919</v>
      </c>
      <c r="D28" s="2">
        <v>17528214</v>
      </c>
      <c r="E28" s="26">
        <f t="shared" si="1"/>
        <v>-3.1965762776565959E-2</v>
      </c>
      <c r="F28" s="26">
        <f t="shared" si="2"/>
        <v>-3.7841562180835994E-2</v>
      </c>
      <c r="G28" s="29"/>
      <c r="H28" s="29"/>
      <c r="I28" s="29"/>
    </row>
    <row r="29" spans="1:9" x14ac:dyDescent="0.3">
      <c r="E29" s="26"/>
      <c r="F29" s="26"/>
    </row>
    <row r="30" spans="1:9" x14ac:dyDescent="0.3">
      <c r="E30" s="26"/>
      <c r="F30" s="26"/>
    </row>
    <row r="31" spans="1:9" x14ac:dyDescent="0.3">
      <c r="A31" s="33" t="s">
        <v>24</v>
      </c>
      <c r="B31" s="33"/>
      <c r="C31" s="33"/>
      <c r="D31" s="33"/>
      <c r="E31" s="26"/>
      <c r="F31" s="26"/>
    </row>
    <row r="32" spans="1:9" x14ac:dyDescent="0.3">
      <c r="B32" s="32" t="s">
        <v>142</v>
      </c>
      <c r="C32" s="32"/>
      <c r="D32" s="32"/>
      <c r="E32" s="26"/>
      <c r="F32" s="26"/>
    </row>
    <row r="33" spans="1:6" x14ac:dyDescent="0.3">
      <c r="B33" s="7">
        <f>+B4</f>
        <v>2022</v>
      </c>
      <c r="C33" s="7">
        <f>+C4</f>
        <v>2021</v>
      </c>
      <c r="D33" s="7">
        <f>+D4</f>
        <v>2020</v>
      </c>
      <c r="E33" s="26">
        <f t="shared" ref="E33:E91" si="8">(B33-C33)/C33</f>
        <v>4.9480455220188031E-4</v>
      </c>
      <c r="F33" s="26">
        <f t="shared" ref="F33:F91" si="9">(C33-D33)/D33</f>
        <v>4.9504950495049506E-4</v>
      </c>
    </row>
    <row r="34" spans="1:6" x14ac:dyDescent="0.3">
      <c r="E34" s="26"/>
      <c r="F34" s="26"/>
    </row>
    <row r="35" spans="1:6" x14ac:dyDescent="0.3">
      <c r="A35" t="s">
        <v>25</v>
      </c>
      <c r="E35" s="26"/>
      <c r="F35" s="26"/>
    </row>
    <row r="36" spans="1:6" x14ac:dyDescent="0.3">
      <c r="A36" s="1" t="s">
        <v>26</v>
      </c>
      <c r="B36" s="12">
        <v>23646</v>
      </c>
      <c r="C36" s="12">
        <v>34940</v>
      </c>
      <c r="D36" s="12">
        <v>38016</v>
      </c>
      <c r="E36" s="26">
        <f t="shared" si="8"/>
        <v>-0.32323983972524328</v>
      </c>
      <c r="F36" s="26">
        <f t="shared" si="9"/>
        <v>-8.0913299663299659E-2</v>
      </c>
    </row>
    <row r="37" spans="1:6" x14ac:dyDescent="0.3">
      <c r="A37" s="1" t="s">
        <v>27</v>
      </c>
      <c r="B37" s="12">
        <v>24658</v>
      </c>
      <c r="C37" s="12">
        <v>27699</v>
      </c>
      <c r="D37" s="12">
        <v>52927</v>
      </c>
      <c r="E37" s="26">
        <f t="shared" si="8"/>
        <v>-0.10978735694429402</v>
      </c>
      <c r="F37" s="26">
        <f t="shared" si="9"/>
        <v>-0.47665652691442933</v>
      </c>
    </row>
    <row r="38" spans="1:6" x14ac:dyDescent="0.3">
      <c r="A38" s="1" t="s">
        <v>28</v>
      </c>
      <c r="B38" s="12">
        <v>28184</v>
      </c>
      <c r="C38" s="12">
        <v>26278</v>
      </c>
      <c r="D38" s="12">
        <v>16120</v>
      </c>
      <c r="E38" s="26">
        <f t="shared" si="8"/>
        <v>7.2532156176269125E-2</v>
      </c>
      <c r="F38" s="26">
        <f t="shared" si="9"/>
        <v>0.63014888337468977</v>
      </c>
    </row>
    <row r="39" spans="1:6" x14ac:dyDescent="0.3">
      <c r="A39" s="1" t="s">
        <v>29</v>
      </c>
      <c r="B39" s="12">
        <v>4946</v>
      </c>
      <c r="C39" s="12">
        <v>6580</v>
      </c>
      <c r="D39" s="12">
        <v>4061</v>
      </c>
      <c r="E39" s="26">
        <f t="shared" si="8"/>
        <v>-0.24832826747720366</v>
      </c>
      <c r="F39" s="26">
        <f t="shared" si="9"/>
        <v>0.62029056882541245</v>
      </c>
    </row>
    <row r="40" spans="1:6" x14ac:dyDescent="0.3">
      <c r="A40" s="1" t="s">
        <v>47</v>
      </c>
      <c r="B40" s="12">
        <v>32748</v>
      </c>
      <c r="C40" s="12">
        <v>25228</v>
      </c>
      <c r="D40" s="12">
        <v>21325</v>
      </c>
      <c r="E40" s="26">
        <f t="shared" si="8"/>
        <v>0.29808149674964324</v>
      </c>
      <c r="F40" s="26">
        <f t="shared" si="9"/>
        <v>0.18302461899179367</v>
      </c>
    </row>
    <row r="41" spans="1:6" x14ac:dyDescent="0.3">
      <c r="A41" s="1" t="s">
        <v>30</v>
      </c>
      <c r="B41" s="12">
        <v>21223</v>
      </c>
      <c r="C41" s="12">
        <v>14111</v>
      </c>
      <c r="D41" s="12">
        <v>11264</v>
      </c>
      <c r="E41" s="26">
        <f t="shared" si="8"/>
        <v>0.50400396853518536</v>
      </c>
      <c r="F41" s="26">
        <f t="shared" si="9"/>
        <v>0.25275213068181818</v>
      </c>
    </row>
    <row r="42" spans="1:6" x14ac:dyDescent="0.3">
      <c r="A42" s="8" t="s">
        <v>31</v>
      </c>
      <c r="B42" s="13">
        <f>+SUM(B36:B41)</f>
        <v>135405</v>
      </c>
      <c r="C42" s="13">
        <f>+SUM(C36:C41)</f>
        <v>134836</v>
      </c>
      <c r="D42" s="13">
        <f>+SUM(D36:D41)</f>
        <v>143713</v>
      </c>
      <c r="E42" s="26">
        <f t="shared" si="8"/>
        <v>4.2199412619775131E-3</v>
      </c>
      <c r="F42" s="26">
        <f t="shared" si="9"/>
        <v>-6.176894226687913E-2</v>
      </c>
    </row>
    <row r="43" spans="1:6" x14ac:dyDescent="0.3">
      <c r="A43" t="s">
        <v>48</v>
      </c>
      <c r="B43" s="12"/>
      <c r="C43" s="12"/>
      <c r="D43" s="12"/>
      <c r="E43" s="26"/>
      <c r="F43" s="26"/>
    </row>
    <row r="44" spans="1:6" x14ac:dyDescent="0.3">
      <c r="A44" s="1" t="s">
        <v>27</v>
      </c>
      <c r="B44" s="12">
        <v>120805</v>
      </c>
      <c r="C44" s="12">
        <v>127877</v>
      </c>
      <c r="D44" s="12">
        <v>100887</v>
      </c>
      <c r="E44" s="26">
        <f t="shared" si="8"/>
        <v>-5.5303142863845724E-2</v>
      </c>
      <c r="F44" s="26">
        <f t="shared" si="9"/>
        <v>0.26752703519779553</v>
      </c>
    </row>
    <row r="45" spans="1:6" x14ac:dyDescent="0.3">
      <c r="A45" s="1" t="s">
        <v>32</v>
      </c>
      <c r="B45" s="12">
        <v>42117</v>
      </c>
      <c r="C45" s="12">
        <v>39440</v>
      </c>
      <c r="D45" s="12">
        <v>36766</v>
      </c>
      <c r="E45" s="26">
        <f t="shared" si="8"/>
        <v>6.7875253549695744E-2</v>
      </c>
      <c r="F45" s="26">
        <f t="shared" si="9"/>
        <v>7.2730239895555673E-2</v>
      </c>
    </row>
    <row r="46" spans="1:6" x14ac:dyDescent="0.3">
      <c r="A46" s="1" t="s">
        <v>49</v>
      </c>
      <c r="B46" s="12">
        <v>54428</v>
      </c>
      <c r="C46" s="12">
        <v>48849</v>
      </c>
      <c r="D46" s="12">
        <v>42522</v>
      </c>
      <c r="E46" s="26">
        <f t="shared" si="8"/>
        <v>0.11420909332842023</v>
      </c>
      <c r="F46" s="26">
        <f t="shared" si="9"/>
        <v>0.1487935656836461</v>
      </c>
    </row>
    <row r="47" spans="1:6" x14ac:dyDescent="0.3">
      <c r="A47" s="8" t="s">
        <v>50</v>
      </c>
      <c r="B47" s="13">
        <f>+SUM(B44:B46)</f>
        <v>217350</v>
      </c>
      <c r="C47" s="13">
        <f>+SUM(C44:C46)</f>
        <v>216166</v>
      </c>
      <c r="D47" s="13">
        <f>+SUM(D44:D46)</f>
        <v>180175</v>
      </c>
      <c r="E47" s="26">
        <f t="shared" si="8"/>
        <v>5.4772720964443994E-3</v>
      </c>
      <c r="F47" s="26">
        <f t="shared" si="9"/>
        <v>0.19975579297904814</v>
      </c>
    </row>
    <row r="48" spans="1:6" ht="15" thickBot="1" x14ac:dyDescent="0.35">
      <c r="A48" s="9" t="s">
        <v>33</v>
      </c>
      <c r="B48" s="14">
        <f>+B42+B47</f>
        <v>352755</v>
      </c>
      <c r="C48" s="14">
        <f>+C42+C47</f>
        <v>351002</v>
      </c>
      <c r="D48" s="14">
        <f>+D42+D47</f>
        <v>323888</v>
      </c>
      <c r="E48" s="26">
        <f t="shared" si="8"/>
        <v>4.9942735369029236E-3</v>
      </c>
      <c r="F48" s="26">
        <f t="shared" si="9"/>
        <v>8.3714123400681711E-2</v>
      </c>
    </row>
    <row r="49" spans="1:6" ht="15" thickTop="1" x14ac:dyDescent="0.3">
      <c r="E49" s="26"/>
      <c r="F49" s="26"/>
    </row>
    <row r="50" spans="1:6" x14ac:dyDescent="0.3">
      <c r="A50" t="s">
        <v>34</v>
      </c>
      <c r="E50" s="26"/>
      <c r="F50" s="26"/>
    </row>
    <row r="51" spans="1:6" x14ac:dyDescent="0.3">
      <c r="A51" s="1" t="s">
        <v>35</v>
      </c>
      <c r="B51" s="12">
        <v>64115</v>
      </c>
      <c r="C51" s="12">
        <v>54763</v>
      </c>
      <c r="D51" s="12">
        <v>42296</v>
      </c>
      <c r="E51" s="26">
        <f t="shared" si="8"/>
        <v>0.17077223672917846</v>
      </c>
      <c r="F51" s="26">
        <f t="shared" si="9"/>
        <v>0.29475600529600909</v>
      </c>
    </row>
    <row r="52" spans="1:6" x14ac:dyDescent="0.3">
      <c r="A52" s="1" t="s">
        <v>36</v>
      </c>
      <c r="B52" s="12">
        <v>60845</v>
      </c>
      <c r="C52" s="12">
        <v>47493</v>
      </c>
      <c r="D52" s="12">
        <v>42684</v>
      </c>
      <c r="E52" s="26">
        <f t="shared" si="8"/>
        <v>0.28113616743520098</v>
      </c>
      <c r="F52" s="26">
        <f t="shared" si="9"/>
        <v>0.1126651672757942</v>
      </c>
    </row>
    <row r="53" spans="1:6" x14ac:dyDescent="0.3">
      <c r="A53" s="1" t="s">
        <v>37</v>
      </c>
      <c r="B53" s="12">
        <v>7912</v>
      </c>
      <c r="C53" s="12">
        <v>7612</v>
      </c>
      <c r="D53" s="12">
        <v>6643</v>
      </c>
      <c r="E53" s="26">
        <f t="shared" si="8"/>
        <v>3.9411455596426698E-2</v>
      </c>
      <c r="F53" s="26">
        <f t="shared" si="9"/>
        <v>0.14586783079933766</v>
      </c>
    </row>
    <row r="54" spans="1:6" x14ac:dyDescent="0.3">
      <c r="A54" s="1" t="s">
        <v>38</v>
      </c>
      <c r="B54" s="12">
        <v>9982</v>
      </c>
      <c r="C54" s="12">
        <v>6000</v>
      </c>
      <c r="D54" s="12">
        <v>4996</v>
      </c>
      <c r="E54" s="26">
        <f t="shared" si="8"/>
        <v>0.66366666666666663</v>
      </c>
      <c r="F54" s="26">
        <f t="shared" si="9"/>
        <v>0.20096076861489193</v>
      </c>
    </row>
    <row r="55" spans="1:6" x14ac:dyDescent="0.3">
      <c r="A55" s="1" t="s">
        <v>39</v>
      </c>
      <c r="B55" s="12">
        <v>11128</v>
      </c>
      <c r="C55" s="12">
        <v>9613</v>
      </c>
      <c r="D55" s="12">
        <v>8773</v>
      </c>
      <c r="E55" s="26">
        <f t="shared" si="8"/>
        <v>0.15759908457297409</v>
      </c>
      <c r="F55" s="26">
        <f t="shared" si="9"/>
        <v>9.5748318705117977E-2</v>
      </c>
    </row>
    <row r="56" spans="1:6" x14ac:dyDescent="0.3">
      <c r="A56" s="8" t="s">
        <v>40</v>
      </c>
      <c r="B56" s="13">
        <f>+SUM(B51:B55)</f>
        <v>153982</v>
      </c>
      <c r="C56" s="13">
        <f>+SUM(C51:C55)</f>
        <v>125481</v>
      </c>
      <c r="D56" s="13">
        <f>+SUM(D51:D55)</f>
        <v>105392</v>
      </c>
      <c r="E56" s="26">
        <f t="shared" si="8"/>
        <v>0.22713398841258836</v>
      </c>
      <c r="F56" s="26">
        <f t="shared" si="9"/>
        <v>0.19061219067860938</v>
      </c>
    </row>
    <row r="57" spans="1:6" x14ac:dyDescent="0.3">
      <c r="A57" t="s">
        <v>51</v>
      </c>
      <c r="B57" s="12"/>
      <c r="C57" s="12"/>
      <c r="D57" s="12"/>
      <c r="E57" s="26"/>
      <c r="F57" s="26"/>
    </row>
    <row r="58" spans="1:6" x14ac:dyDescent="0.3">
      <c r="A58" s="1" t="s">
        <v>37</v>
      </c>
      <c r="B58" s="12"/>
      <c r="C58" s="12"/>
      <c r="D58" s="12"/>
      <c r="E58" s="26"/>
      <c r="F58" s="26"/>
    </row>
    <row r="59" spans="1:6" x14ac:dyDescent="0.3">
      <c r="A59" s="1" t="s">
        <v>39</v>
      </c>
      <c r="B59" s="12">
        <v>98959</v>
      </c>
      <c r="C59" s="12">
        <v>109106</v>
      </c>
      <c r="D59" s="12">
        <v>98667</v>
      </c>
      <c r="E59" s="26">
        <f t="shared" si="8"/>
        <v>-9.3001301486627677E-2</v>
      </c>
      <c r="F59" s="26">
        <f t="shared" si="9"/>
        <v>0.1058003182421681</v>
      </c>
    </row>
    <row r="60" spans="1:6" x14ac:dyDescent="0.3">
      <c r="A60" s="1" t="s">
        <v>52</v>
      </c>
      <c r="B60" s="12">
        <v>49142</v>
      </c>
      <c r="C60" s="12">
        <v>53325</v>
      </c>
      <c r="D60" s="12">
        <v>54490</v>
      </c>
      <c r="E60" s="26">
        <f t="shared" si="8"/>
        <v>-7.8443506797937171E-2</v>
      </c>
      <c r="F60" s="26">
        <f t="shared" si="9"/>
        <v>-2.1380069737566527E-2</v>
      </c>
    </row>
    <row r="61" spans="1:6" x14ac:dyDescent="0.3">
      <c r="A61" s="22" t="s">
        <v>53</v>
      </c>
      <c r="B61" s="21">
        <f>+B59+B60</f>
        <v>148101</v>
      </c>
      <c r="C61" s="21">
        <f>+C59+C60</f>
        <v>162431</v>
      </c>
      <c r="D61" s="21">
        <f>+D59+D60</f>
        <v>153157</v>
      </c>
      <c r="E61" s="26">
        <f t="shared" si="8"/>
        <v>-8.8222075835277747E-2</v>
      </c>
      <c r="F61" s="26">
        <f t="shared" si="9"/>
        <v>6.0552243775994566E-2</v>
      </c>
    </row>
    <row r="62" spans="1:6" x14ac:dyDescent="0.3">
      <c r="A62" s="8" t="s">
        <v>41</v>
      </c>
      <c r="B62" s="13">
        <f>+B56+B61</f>
        <v>302083</v>
      </c>
      <c r="C62" s="13">
        <f>+C56+C61</f>
        <v>287912</v>
      </c>
      <c r="D62" s="13">
        <f>+D56+D61</f>
        <v>258549</v>
      </c>
      <c r="E62" s="26">
        <f t="shared" si="8"/>
        <v>4.9219900525160468E-2</v>
      </c>
      <c r="F62" s="26">
        <f t="shared" si="9"/>
        <v>0.11356841449783213</v>
      </c>
    </row>
    <row r="63" spans="1:6" x14ac:dyDescent="0.3">
      <c r="B63" s="12"/>
      <c r="C63" s="12"/>
      <c r="D63" s="12"/>
      <c r="E63" s="26"/>
      <c r="F63" s="26"/>
    </row>
    <row r="64" spans="1:6" x14ac:dyDescent="0.3">
      <c r="A64" t="s">
        <v>42</v>
      </c>
      <c r="B64" s="12"/>
      <c r="C64" s="12"/>
      <c r="D64" s="12"/>
      <c r="E64" s="26"/>
      <c r="F64" s="26"/>
    </row>
    <row r="65" spans="1:6" x14ac:dyDescent="0.3">
      <c r="A65" s="1" t="s">
        <v>54</v>
      </c>
      <c r="B65" s="12">
        <v>64849</v>
      </c>
      <c r="C65" s="12">
        <v>57365</v>
      </c>
      <c r="D65" s="12">
        <v>50779</v>
      </c>
      <c r="E65" s="26">
        <f t="shared" si="8"/>
        <v>0.1304628257648392</v>
      </c>
      <c r="F65" s="26">
        <f t="shared" si="9"/>
        <v>0.12969928513755685</v>
      </c>
    </row>
    <row r="66" spans="1:6" x14ac:dyDescent="0.3">
      <c r="A66" s="1" t="s">
        <v>43</v>
      </c>
      <c r="B66" s="12">
        <v>-3068</v>
      </c>
      <c r="C66" s="12">
        <v>5562</v>
      </c>
      <c r="D66" s="12">
        <v>14966</v>
      </c>
      <c r="E66" s="26">
        <f t="shared" si="8"/>
        <v>-1.5516001438331535</v>
      </c>
      <c r="F66" s="26">
        <f t="shared" si="9"/>
        <v>-0.62835761058399042</v>
      </c>
    </row>
    <row r="67" spans="1:6" x14ac:dyDescent="0.3">
      <c r="A67" s="1" t="s">
        <v>44</v>
      </c>
      <c r="B67" s="12">
        <v>-11109</v>
      </c>
      <c r="C67" s="12">
        <v>163</v>
      </c>
      <c r="D67" s="12">
        <v>-406</v>
      </c>
      <c r="E67" s="26">
        <f t="shared" si="8"/>
        <v>-69.153374233128829</v>
      </c>
      <c r="F67" s="26">
        <f t="shared" si="9"/>
        <v>-1.4014778325123152</v>
      </c>
    </row>
    <row r="68" spans="1:6" x14ac:dyDescent="0.3">
      <c r="A68" s="8" t="s">
        <v>45</v>
      </c>
      <c r="B68" s="13">
        <f>+SUM(B65:B67)</f>
        <v>50672</v>
      </c>
      <c r="C68" s="13">
        <f>+SUM(C65:C67)</f>
        <v>63090</v>
      </c>
      <c r="D68" s="13">
        <f>+SUM(D65:D67)</f>
        <v>65339</v>
      </c>
      <c r="E68" s="26">
        <f t="shared" si="8"/>
        <v>-0.19682992550324932</v>
      </c>
      <c r="F68" s="26">
        <f t="shared" si="9"/>
        <v>-3.4420483937617659E-2</v>
      </c>
    </row>
    <row r="69" spans="1:6" ht="15" thickBot="1" x14ac:dyDescent="0.35">
      <c r="A69" s="9" t="s">
        <v>46</v>
      </c>
      <c r="B69" s="14">
        <f>+B68+B62</f>
        <v>352755</v>
      </c>
      <c r="C69" s="14">
        <f>+C68+C62</f>
        <v>351002</v>
      </c>
      <c r="D69" s="14">
        <f>+D68+D62</f>
        <v>323888</v>
      </c>
      <c r="E69" s="26">
        <f t="shared" si="8"/>
        <v>4.9942735369029236E-3</v>
      </c>
      <c r="F69" s="26">
        <f t="shared" si="9"/>
        <v>8.3714123400681711E-2</v>
      </c>
    </row>
    <row r="70" spans="1:6" ht="15" thickTop="1" x14ac:dyDescent="0.3">
      <c r="E70" s="26"/>
      <c r="F70" s="26"/>
    </row>
    <row r="71" spans="1:6" x14ac:dyDescent="0.3">
      <c r="A71" s="33" t="s">
        <v>55</v>
      </c>
      <c r="B71" s="33"/>
      <c r="C71" s="33"/>
      <c r="D71" s="33"/>
      <c r="E71" s="26"/>
      <c r="F71" s="26"/>
    </row>
    <row r="72" spans="1:6" x14ac:dyDescent="0.3">
      <c r="B72" s="32" t="s">
        <v>23</v>
      </c>
      <c r="C72" s="32"/>
      <c r="D72" s="32"/>
      <c r="E72" s="26"/>
      <c r="F72" s="26"/>
    </row>
    <row r="73" spans="1:6" x14ac:dyDescent="0.3">
      <c r="B73" s="7">
        <f>+B33</f>
        <v>2022</v>
      </c>
      <c r="C73" s="7">
        <f>+C33</f>
        <v>2021</v>
      </c>
      <c r="D73" s="7">
        <f>+D33</f>
        <v>2020</v>
      </c>
      <c r="E73" s="26">
        <f t="shared" si="8"/>
        <v>4.9480455220188031E-4</v>
      </c>
      <c r="F73" s="26">
        <f t="shared" si="9"/>
        <v>4.9504950495049506E-4</v>
      </c>
    </row>
    <row r="74" spans="1:6" x14ac:dyDescent="0.3">
      <c r="E74" s="26"/>
      <c r="F74" s="26"/>
    </row>
    <row r="75" spans="1:6" x14ac:dyDescent="0.3">
      <c r="A75" s="7" t="s">
        <v>56</v>
      </c>
      <c r="B75" s="15"/>
      <c r="C75" s="15"/>
      <c r="D75" s="15"/>
      <c r="E75" s="26"/>
      <c r="F75" s="26"/>
    </row>
    <row r="76" spans="1:6" x14ac:dyDescent="0.3">
      <c r="A76" t="s">
        <v>57</v>
      </c>
      <c r="B76" s="12">
        <f>+B22</f>
        <v>99803</v>
      </c>
      <c r="C76" s="12">
        <f>+C22</f>
        <v>94680</v>
      </c>
      <c r="D76" s="12">
        <f>+D22</f>
        <v>57411</v>
      </c>
      <c r="E76" s="26">
        <f t="shared" si="8"/>
        <v>5.4108576256865229E-2</v>
      </c>
      <c r="F76" s="26">
        <f t="shared" si="9"/>
        <v>0.64916131055024295</v>
      </c>
    </row>
    <row r="77" spans="1:6" x14ac:dyDescent="0.3">
      <c r="A77" s="11" t="s">
        <v>18</v>
      </c>
      <c r="B77" s="15"/>
      <c r="C77" s="15"/>
      <c r="D77" s="15"/>
      <c r="E77" s="26"/>
      <c r="F77" s="26"/>
    </row>
    <row r="78" spans="1:6" x14ac:dyDescent="0.3">
      <c r="A78" s="1" t="s">
        <v>58</v>
      </c>
      <c r="B78" s="12"/>
      <c r="C78" s="12"/>
      <c r="D78" s="12"/>
      <c r="E78" s="26"/>
      <c r="F78" s="26"/>
    </row>
    <row r="79" spans="1:6" x14ac:dyDescent="0.3">
      <c r="A79" s="3" t="s">
        <v>59</v>
      </c>
      <c r="B79" s="12">
        <v>11104</v>
      </c>
      <c r="C79" s="12">
        <v>11284</v>
      </c>
      <c r="D79" s="12">
        <v>11056</v>
      </c>
      <c r="E79" s="26">
        <f t="shared" si="8"/>
        <v>-1.5951790145338533E-2</v>
      </c>
      <c r="F79" s="26">
        <f t="shared" si="9"/>
        <v>2.0622286541244574E-2</v>
      </c>
    </row>
    <row r="80" spans="1:6" x14ac:dyDescent="0.3">
      <c r="A80" s="3" t="s">
        <v>83</v>
      </c>
      <c r="B80" s="12">
        <v>9038</v>
      </c>
      <c r="C80" s="12">
        <v>7906</v>
      </c>
      <c r="D80" s="12">
        <v>6829</v>
      </c>
      <c r="E80" s="26">
        <f t="shared" si="8"/>
        <v>0.14318239311915001</v>
      </c>
      <c r="F80" s="26">
        <f t="shared" si="9"/>
        <v>0.1577097671694245</v>
      </c>
    </row>
    <row r="81" spans="1:6" x14ac:dyDescent="0.3">
      <c r="A81" s="3" t="s">
        <v>60</v>
      </c>
      <c r="B81" s="12">
        <v>895</v>
      </c>
      <c r="C81" s="12">
        <v>-4774</v>
      </c>
      <c r="D81" s="12">
        <v>-215</v>
      </c>
      <c r="E81" s="26">
        <f t="shared" si="8"/>
        <v>-1.1874738165060745</v>
      </c>
      <c r="F81" s="26">
        <f t="shared" si="9"/>
        <v>21.204651162790697</v>
      </c>
    </row>
    <row r="82" spans="1:6" x14ac:dyDescent="0.3">
      <c r="A82" s="3" t="s">
        <v>61</v>
      </c>
      <c r="B82" s="12">
        <v>111</v>
      </c>
      <c r="C82" s="12">
        <v>-147</v>
      </c>
      <c r="D82" s="12">
        <v>-97</v>
      </c>
      <c r="E82" s="26">
        <f t="shared" si="8"/>
        <v>-1.7551020408163265</v>
      </c>
      <c r="F82" s="26">
        <f t="shared" si="9"/>
        <v>0.51546391752577314</v>
      </c>
    </row>
    <row r="83" spans="1:6" x14ac:dyDescent="0.3">
      <c r="A83" t="s">
        <v>62</v>
      </c>
      <c r="B83" s="12"/>
      <c r="C83" s="12"/>
      <c r="D83" s="12"/>
      <c r="E83" s="26"/>
      <c r="F83" s="26"/>
    </row>
    <row r="84" spans="1:6" x14ac:dyDescent="0.3">
      <c r="A84" s="1" t="s">
        <v>28</v>
      </c>
      <c r="B84" s="12">
        <v>-1823</v>
      </c>
      <c r="C84" s="12">
        <v>-10125</v>
      </c>
      <c r="D84" s="12">
        <v>6917</v>
      </c>
      <c r="E84" s="26">
        <f t="shared" si="8"/>
        <v>-0.81995061728395058</v>
      </c>
      <c r="F84" s="26">
        <f t="shared" si="9"/>
        <v>-2.4637848778372127</v>
      </c>
    </row>
    <row r="85" spans="1:6" x14ac:dyDescent="0.3">
      <c r="A85" s="1" t="s">
        <v>29</v>
      </c>
      <c r="B85" s="12">
        <v>1484</v>
      </c>
      <c r="C85" s="12">
        <v>-2642</v>
      </c>
      <c r="D85" s="12">
        <v>-127</v>
      </c>
      <c r="E85" s="26">
        <f t="shared" si="8"/>
        <v>-1.5616956850870554</v>
      </c>
      <c r="F85" s="26">
        <f t="shared" si="9"/>
        <v>19.803149606299211</v>
      </c>
    </row>
    <row r="86" spans="1:6" x14ac:dyDescent="0.3">
      <c r="A86" s="1" t="s">
        <v>47</v>
      </c>
      <c r="B86" s="12">
        <v>-7520</v>
      </c>
      <c r="C86" s="12">
        <v>-3903</v>
      </c>
      <c r="D86" s="12">
        <v>1553</v>
      </c>
      <c r="E86" s="26">
        <f t="shared" si="8"/>
        <v>0.92672303356392516</v>
      </c>
      <c r="F86" s="26">
        <f t="shared" si="9"/>
        <v>-3.5132002575660013</v>
      </c>
    </row>
    <row r="87" spans="1:6" x14ac:dyDescent="0.3">
      <c r="A87" s="1" t="s">
        <v>84</v>
      </c>
      <c r="B87" s="12">
        <v>-6499</v>
      </c>
      <c r="C87" s="12">
        <v>-8042</v>
      </c>
      <c r="D87" s="12">
        <v>-9588</v>
      </c>
      <c r="E87" s="26">
        <f t="shared" si="8"/>
        <v>-0.1918676946033325</v>
      </c>
      <c r="F87" s="26">
        <f t="shared" si="9"/>
        <v>-0.16124322069253233</v>
      </c>
    </row>
    <row r="88" spans="1:6" x14ac:dyDescent="0.3">
      <c r="A88" s="1" t="s">
        <v>35</v>
      </c>
      <c r="B88" s="12">
        <v>9448</v>
      </c>
      <c r="C88" s="12">
        <v>12326</v>
      </c>
      <c r="D88" s="12">
        <v>-4062</v>
      </c>
      <c r="E88" s="26">
        <f t="shared" si="8"/>
        <v>-0.23349018335226351</v>
      </c>
      <c r="F88" s="26">
        <f t="shared" si="9"/>
        <v>-4.0344657804037416</v>
      </c>
    </row>
    <row r="89" spans="1:6" x14ac:dyDescent="0.3">
      <c r="A89" s="1" t="s">
        <v>37</v>
      </c>
      <c r="B89" s="12">
        <v>478</v>
      </c>
      <c r="C89" s="12">
        <v>1676</v>
      </c>
      <c r="D89" s="12">
        <v>2081</v>
      </c>
      <c r="E89" s="26">
        <f t="shared" si="8"/>
        <v>-0.71479713603818618</v>
      </c>
      <c r="F89" s="26">
        <f t="shared" si="9"/>
        <v>-0.19461797212878423</v>
      </c>
    </row>
    <row r="90" spans="1:6" x14ac:dyDescent="0.3">
      <c r="A90" s="1" t="s">
        <v>85</v>
      </c>
      <c r="B90" s="12">
        <v>5632</v>
      </c>
      <c r="C90" s="12">
        <v>5799</v>
      </c>
      <c r="D90" s="12">
        <v>8916</v>
      </c>
      <c r="E90" s="26">
        <f t="shared" si="8"/>
        <v>-2.879806863252285E-2</v>
      </c>
      <c r="F90" s="26">
        <f t="shared" si="9"/>
        <v>-0.34959623149394348</v>
      </c>
    </row>
    <row r="91" spans="1:6" x14ac:dyDescent="0.3">
      <c r="A91" s="8" t="s">
        <v>63</v>
      </c>
      <c r="B91" s="13">
        <f>+SUM(B76:B90)</f>
        <v>122151</v>
      </c>
      <c r="C91" s="13">
        <f>+SUM(C76:C90)</f>
        <v>104038</v>
      </c>
      <c r="D91" s="13">
        <f>+SUM(D76:D90)</f>
        <v>80674</v>
      </c>
      <c r="E91" s="26">
        <f t="shared" si="8"/>
        <v>0.17409984813241317</v>
      </c>
      <c r="F91" s="26">
        <f t="shared" si="9"/>
        <v>0.28961003545132263</v>
      </c>
    </row>
    <row r="92" spans="1:6" x14ac:dyDescent="0.3">
      <c r="A92" s="7" t="s">
        <v>64</v>
      </c>
      <c r="B92" s="12"/>
      <c r="C92" s="12"/>
      <c r="D92" s="12"/>
      <c r="E92" s="26"/>
      <c r="F92" s="26"/>
    </row>
    <row r="93" spans="1:6" x14ac:dyDescent="0.3">
      <c r="A93" s="1" t="s">
        <v>65</v>
      </c>
      <c r="B93" s="12">
        <v>-76923</v>
      </c>
      <c r="C93" s="12">
        <v>-109558</v>
      </c>
      <c r="D93" s="12">
        <v>-114938</v>
      </c>
      <c r="E93" s="26">
        <f t="shared" ref="E93:E114" si="10">(B93-C93)/C93</f>
        <v>-0.29787874915569834</v>
      </c>
      <c r="F93" s="26">
        <f t="shared" ref="F93:F114" si="11">(C93-D93)/D93</f>
        <v>-4.6807844229062624E-2</v>
      </c>
    </row>
    <row r="94" spans="1:6" x14ac:dyDescent="0.3">
      <c r="A94" s="1" t="s">
        <v>66</v>
      </c>
      <c r="B94" s="12">
        <v>29917</v>
      </c>
      <c r="C94" s="12">
        <v>59023</v>
      </c>
      <c r="D94" s="12">
        <v>69918</v>
      </c>
      <c r="E94" s="26">
        <f t="shared" si="10"/>
        <v>-0.49312979685885161</v>
      </c>
      <c r="F94" s="26">
        <f t="shared" si="11"/>
        <v>-0.15582539546325697</v>
      </c>
    </row>
    <row r="95" spans="1:6" x14ac:dyDescent="0.3">
      <c r="A95" s="1" t="s">
        <v>67</v>
      </c>
      <c r="B95" s="12">
        <v>37446</v>
      </c>
      <c r="C95" s="12">
        <v>47460</v>
      </c>
      <c r="D95" s="12">
        <v>50473</v>
      </c>
      <c r="E95" s="26">
        <f t="shared" si="10"/>
        <v>-0.21099873577749684</v>
      </c>
      <c r="F95" s="26">
        <f t="shared" si="11"/>
        <v>-5.9695282626354686E-2</v>
      </c>
    </row>
    <row r="96" spans="1:6" x14ac:dyDescent="0.3">
      <c r="A96" s="1" t="s">
        <v>68</v>
      </c>
      <c r="B96" s="12">
        <v>-10708</v>
      </c>
      <c r="C96" s="12">
        <v>-11085</v>
      </c>
      <c r="D96" s="12">
        <v>-7309</v>
      </c>
      <c r="E96" s="26">
        <f t="shared" si="10"/>
        <v>-3.4009923319801537E-2</v>
      </c>
      <c r="F96" s="26">
        <f t="shared" si="11"/>
        <v>0.5166233410863319</v>
      </c>
    </row>
    <row r="97" spans="1:6" x14ac:dyDescent="0.3">
      <c r="A97" s="1" t="s">
        <v>69</v>
      </c>
      <c r="B97" s="12">
        <v>-306</v>
      </c>
      <c r="C97" s="12">
        <v>-33</v>
      </c>
      <c r="D97" s="12">
        <v>-1524</v>
      </c>
      <c r="E97" s="26">
        <f t="shared" si="10"/>
        <v>8.2727272727272734</v>
      </c>
      <c r="F97" s="26">
        <f t="shared" si="11"/>
        <v>-0.97834645669291342</v>
      </c>
    </row>
    <row r="98" spans="1:6" x14ac:dyDescent="0.3">
      <c r="A98" s="1" t="s">
        <v>61</v>
      </c>
      <c r="B98" s="12">
        <v>-1780</v>
      </c>
      <c r="C98" s="12">
        <v>-352</v>
      </c>
      <c r="D98" s="12">
        <v>-909</v>
      </c>
      <c r="E98" s="26">
        <f t="shared" si="10"/>
        <v>4.0568181818181817</v>
      </c>
      <c r="F98" s="26">
        <f t="shared" si="11"/>
        <v>-0.61276127612761278</v>
      </c>
    </row>
    <row r="99" spans="1:6" x14ac:dyDescent="0.3">
      <c r="A99" s="8" t="s">
        <v>70</v>
      </c>
      <c r="B99" s="13">
        <f>+SUM(B93:B98)</f>
        <v>-22354</v>
      </c>
      <c r="C99" s="13">
        <f>+SUM(C93:C98)</f>
        <v>-14545</v>
      </c>
      <c r="D99" s="13">
        <f>+SUM(D93:D98)</f>
        <v>-4289</v>
      </c>
      <c r="E99" s="26">
        <f t="shared" si="10"/>
        <v>0.53688552767273978</v>
      </c>
      <c r="F99" s="26">
        <f t="shared" si="11"/>
        <v>2.3912333877360692</v>
      </c>
    </row>
    <row r="100" spans="1:6" x14ac:dyDescent="0.3">
      <c r="A100" s="7" t="s">
        <v>71</v>
      </c>
      <c r="B100" s="12"/>
      <c r="C100" s="12"/>
      <c r="D100" s="12"/>
      <c r="E100" s="26"/>
      <c r="F100" s="26"/>
    </row>
    <row r="101" spans="1:6" x14ac:dyDescent="0.3">
      <c r="A101" s="1" t="s">
        <v>86</v>
      </c>
      <c r="B101" s="12">
        <v>-6223</v>
      </c>
      <c r="C101" s="12">
        <v>-6556</v>
      </c>
      <c r="D101" s="12">
        <v>-3634</v>
      </c>
      <c r="E101" s="26">
        <f t="shared" si="10"/>
        <v>-5.0793166564978648E-2</v>
      </c>
      <c r="F101" s="26">
        <f t="shared" si="11"/>
        <v>0.80407264722069349</v>
      </c>
    </row>
    <row r="102" spans="1:6" x14ac:dyDescent="0.3">
      <c r="A102" s="1" t="s">
        <v>72</v>
      </c>
      <c r="B102" s="12">
        <v>-14841</v>
      </c>
      <c r="C102" s="12">
        <v>-14467</v>
      </c>
      <c r="D102" s="12">
        <v>-14081</v>
      </c>
      <c r="E102" s="26">
        <f t="shared" si="10"/>
        <v>2.5851938895417155E-2</v>
      </c>
      <c r="F102" s="26">
        <f t="shared" si="11"/>
        <v>2.741282579362261E-2</v>
      </c>
    </row>
    <row r="103" spans="1:6" x14ac:dyDescent="0.3">
      <c r="A103" s="1" t="s">
        <v>73</v>
      </c>
      <c r="B103" s="12">
        <v>-89402</v>
      </c>
      <c r="C103" s="12">
        <v>-85971</v>
      </c>
      <c r="D103" s="12">
        <v>-72358</v>
      </c>
      <c r="E103" s="26">
        <f t="shared" si="10"/>
        <v>3.990880645799165E-2</v>
      </c>
      <c r="F103" s="26">
        <f t="shared" si="11"/>
        <v>0.18813400038696482</v>
      </c>
    </row>
    <row r="104" spans="1:6" x14ac:dyDescent="0.3">
      <c r="A104" s="1" t="s">
        <v>74</v>
      </c>
      <c r="B104" s="12">
        <v>5465</v>
      </c>
      <c r="C104" s="12">
        <v>20393</v>
      </c>
      <c r="D104" s="12">
        <v>16091</v>
      </c>
      <c r="E104" s="26">
        <f t="shared" si="10"/>
        <v>-0.73201588780463889</v>
      </c>
      <c r="F104" s="26">
        <f t="shared" si="11"/>
        <v>0.26735442172643092</v>
      </c>
    </row>
    <row r="105" spans="1:6" x14ac:dyDescent="0.3">
      <c r="A105" s="1" t="s">
        <v>75</v>
      </c>
      <c r="B105" s="12">
        <v>-9543</v>
      </c>
      <c r="C105" s="12">
        <v>-8750</v>
      </c>
      <c r="D105" s="12">
        <v>-12629</v>
      </c>
      <c r="E105" s="26">
        <f t="shared" si="10"/>
        <v>9.0628571428571433E-2</v>
      </c>
      <c r="F105" s="26">
        <f t="shared" si="11"/>
        <v>-0.30715020983450786</v>
      </c>
    </row>
    <row r="106" spans="1:6" x14ac:dyDescent="0.3">
      <c r="A106" s="1" t="s">
        <v>76</v>
      </c>
      <c r="B106" s="12">
        <v>3955</v>
      </c>
      <c r="C106" s="12">
        <v>1022</v>
      </c>
      <c r="D106" s="12">
        <v>-963</v>
      </c>
      <c r="E106" s="26">
        <f t="shared" si="10"/>
        <v>2.8698630136986303</v>
      </c>
      <c r="F106" s="26">
        <f t="shared" si="11"/>
        <v>-2.0612668743509865</v>
      </c>
    </row>
    <row r="107" spans="1:6" x14ac:dyDescent="0.3">
      <c r="A107" s="1" t="s">
        <v>61</v>
      </c>
      <c r="B107" s="12">
        <v>-160</v>
      </c>
      <c r="C107" s="12">
        <v>976</v>
      </c>
      <c r="D107" s="12">
        <v>754</v>
      </c>
      <c r="E107" s="26">
        <f t="shared" si="10"/>
        <v>-1.1639344262295082</v>
      </c>
      <c r="F107" s="26">
        <f t="shared" si="11"/>
        <v>0.29442970822281167</v>
      </c>
    </row>
    <row r="108" spans="1:6" x14ac:dyDescent="0.3">
      <c r="A108" s="8" t="s">
        <v>77</v>
      </c>
      <c r="B108" s="13">
        <f>+SUM(B101:B107)</f>
        <v>-110749</v>
      </c>
      <c r="C108" s="13">
        <f>+SUM(C101:C107)</f>
        <v>-93353</v>
      </c>
      <c r="D108" s="13">
        <f>+SUM(D101:D107)</f>
        <v>-86820</v>
      </c>
      <c r="E108" s="26">
        <f t="shared" si="10"/>
        <v>0.18634644842693862</v>
      </c>
      <c r="F108" s="26">
        <f t="shared" si="11"/>
        <v>7.5247638792904858E-2</v>
      </c>
    </row>
    <row r="109" spans="1:6" x14ac:dyDescent="0.3">
      <c r="A109" s="8" t="s">
        <v>78</v>
      </c>
      <c r="B109" s="13">
        <f>+B91+B99+B108</f>
        <v>-10952</v>
      </c>
      <c r="C109" s="13">
        <f>+C91+C99+C108</f>
        <v>-3860</v>
      </c>
      <c r="D109" s="13">
        <f>+D91+D99+D108</f>
        <v>-10435</v>
      </c>
      <c r="E109" s="26">
        <f t="shared" si="10"/>
        <v>1.8373056994818653</v>
      </c>
      <c r="F109" s="26">
        <f t="shared" si="11"/>
        <v>-0.6300910397700048</v>
      </c>
    </row>
    <row r="110" spans="1:6" ht="15" thickBot="1" x14ac:dyDescent="0.35">
      <c r="A110" s="9" t="s">
        <v>79</v>
      </c>
      <c r="B110" s="14">
        <v>24977</v>
      </c>
      <c r="C110" s="14">
        <v>35929</v>
      </c>
      <c r="D110" s="14">
        <v>39789</v>
      </c>
      <c r="E110" s="26">
        <f t="shared" si="10"/>
        <v>-0.30482340170892591</v>
      </c>
      <c r="F110" s="26">
        <f t="shared" si="11"/>
        <v>-9.7011736912211918E-2</v>
      </c>
    </row>
    <row r="111" spans="1:6" ht="15" thickTop="1" x14ac:dyDescent="0.3">
      <c r="B111" s="12"/>
      <c r="C111" s="12"/>
      <c r="D111" s="12"/>
      <c r="E111" s="26"/>
      <c r="F111" s="26"/>
    </row>
    <row r="112" spans="1:6" x14ac:dyDescent="0.3">
      <c r="A112" t="s">
        <v>80</v>
      </c>
      <c r="B112" s="12"/>
      <c r="C112" s="12"/>
      <c r="D112" s="12"/>
      <c r="E112" s="26"/>
      <c r="F112" s="26"/>
    </row>
    <row r="113" spans="1:6" x14ac:dyDescent="0.3">
      <c r="A113" t="s">
        <v>81</v>
      </c>
      <c r="B113" s="12">
        <v>19573</v>
      </c>
      <c r="C113" s="12">
        <v>25385</v>
      </c>
      <c r="D113" s="12">
        <v>9501</v>
      </c>
      <c r="E113" s="26">
        <f t="shared" si="10"/>
        <v>-0.22895410675595823</v>
      </c>
      <c r="F113" s="26">
        <f t="shared" si="11"/>
        <v>1.6718240185243658</v>
      </c>
    </row>
    <row r="114" spans="1:6" x14ac:dyDescent="0.3">
      <c r="A114" t="s">
        <v>82</v>
      </c>
      <c r="B114" s="12">
        <v>2865</v>
      </c>
      <c r="C114" s="12">
        <v>2687</v>
      </c>
      <c r="D114" s="12">
        <v>3002</v>
      </c>
      <c r="E114" s="26">
        <f t="shared" si="10"/>
        <v>6.6244882768887237E-2</v>
      </c>
      <c r="F114" s="26">
        <f t="shared" si="11"/>
        <v>-0.10493004663557629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0"/>
  <sheetViews>
    <sheetView topLeftCell="A15" zoomScale="115" zoomScaleNormal="115" workbookViewId="0">
      <selection activeCell="C31" sqref="C31"/>
    </sheetView>
  </sheetViews>
  <sheetFormatPr defaultRowHeight="14.4" x14ac:dyDescent="0.3"/>
  <cols>
    <col min="1" max="1" width="4.6640625" customWidth="1"/>
    <col min="2" max="2" width="44.88671875" customWidth="1"/>
    <col min="3" max="3" width="14.21875" bestFit="1" customWidth="1"/>
    <col min="4" max="5" width="13.6640625" bestFit="1" customWidth="1"/>
    <col min="7" max="7" width="7" bestFit="1" customWidth="1"/>
    <col min="8" max="8" width="7.33203125" bestFit="1" customWidth="1"/>
  </cols>
  <sheetData>
    <row r="1" spans="1:10" ht="60" customHeight="1" x14ac:dyDescent="0.5">
      <c r="A1" s="6"/>
      <c r="B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3">
      <c r="C2" s="32" t="s">
        <v>23</v>
      </c>
      <c r="D2" s="32"/>
      <c r="E2" s="32"/>
    </row>
    <row r="3" spans="1:10" x14ac:dyDescent="0.3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</row>
    <row r="4" spans="1:10" x14ac:dyDescent="0.3">
      <c r="A4" s="18">
        <v>1</v>
      </c>
      <c r="B4" s="7" t="s">
        <v>99</v>
      </c>
      <c r="G4" s="7"/>
      <c r="H4" s="7"/>
    </row>
    <row r="5" spans="1:10" x14ac:dyDescent="0.3">
      <c r="A5" s="18">
        <f>+A4+0.1</f>
        <v>1.1000000000000001</v>
      </c>
      <c r="B5" s="1" t="s">
        <v>100</v>
      </c>
      <c r="C5" s="24">
        <f>'Financial Statements'!B42/'Financial Statements'!B56</f>
        <v>0.87935602862672257</v>
      </c>
      <c r="D5" s="24">
        <f>'Financial Statements'!C42/'Financial Statements'!C56</f>
        <v>1.0745531195957954</v>
      </c>
      <c r="E5" s="24">
        <f>'Financial Statements'!D42/'Financial Statements'!D56</f>
        <v>1.3636044481554577</v>
      </c>
      <c r="G5" s="26"/>
      <c r="H5" s="26"/>
    </row>
    <row r="6" spans="1:10" x14ac:dyDescent="0.3">
      <c r="A6" s="18">
        <f t="shared" ref="A6:A13" si="0">+A5+0.1</f>
        <v>1.2000000000000002</v>
      </c>
      <c r="B6" s="1" t="s">
        <v>101</v>
      </c>
      <c r="C6" s="23">
        <f>('Financial Statements'!B42-'Financial Statements'!B39)/'Financial Statements'!B56</f>
        <v>0.84723539114961488</v>
      </c>
      <c r="D6" s="23">
        <f>('Financial Statements'!C42-'Financial Statements'!C39)/'Financial Statements'!C56</f>
        <v>1.0221149018576519</v>
      </c>
      <c r="E6" s="23">
        <f>('Financial Statements'!D42-'Financial Statements'!D39)/'Financial Statements'!D56</f>
        <v>1.325072111735236</v>
      </c>
      <c r="G6" s="26"/>
      <c r="H6" s="26"/>
    </row>
    <row r="7" spans="1:10" x14ac:dyDescent="0.3">
      <c r="A7" s="18">
        <f t="shared" si="0"/>
        <v>1.3000000000000003</v>
      </c>
      <c r="B7" s="1" t="s">
        <v>102</v>
      </c>
      <c r="C7" s="24">
        <f>'Financial Statements'!B36/'Financial Statements'!B56</f>
        <v>0.15356340351469652</v>
      </c>
      <c r="D7" s="24">
        <f>'Financial Statements'!C36/'Financial Statements'!C56</f>
        <v>0.27844853005634318</v>
      </c>
      <c r="E7" s="24">
        <f>'Financial Statements'!D36/'Financial Statements'!D56</f>
        <v>0.36071049035979963</v>
      </c>
      <c r="G7" s="26"/>
      <c r="H7" s="26"/>
    </row>
    <row r="8" spans="1:10" x14ac:dyDescent="0.3">
      <c r="A8" s="18">
        <f t="shared" si="0"/>
        <v>1.4000000000000004</v>
      </c>
      <c r="B8" s="1" t="s">
        <v>103</v>
      </c>
      <c r="C8" s="24">
        <f>'Financial Statements'!B42/'Financial Statements'!B76</f>
        <v>1.3567227438052964</v>
      </c>
      <c r="D8" s="24">
        <f>'Financial Statements'!C42/'Financial Statements'!C76</f>
        <v>1.4241233629066328</v>
      </c>
      <c r="E8" s="24">
        <f>'Financial Statements'!D42/'Financial Statements'!D76</f>
        <v>2.5032310881190014</v>
      </c>
      <c r="G8" s="26"/>
      <c r="H8" s="26"/>
    </row>
    <row r="9" spans="1:10" x14ac:dyDescent="0.3">
      <c r="A9" s="18">
        <f t="shared" si="0"/>
        <v>1.5000000000000004</v>
      </c>
      <c r="B9" s="1" t="s">
        <v>104</v>
      </c>
      <c r="C9" s="24">
        <f>'Financial Statements'!B39/'Financial Statements'!B12*365</f>
        <v>8.0756980666171607</v>
      </c>
      <c r="D9" s="24">
        <f>'Financial Statements'!C39/'Financial Statements'!C12*365</f>
        <v>11.27659274770989</v>
      </c>
      <c r="E9" s="24">
        <f>'Financial Statements'!D39/'Financial Statements'!D12*365</f>
        <v>8.7418833562358831</v>
      </c>
      <c r="G9" s="26"/>
      <c r="H9" s="26"/>
    </row>
    <row r="10" spans="1:10" x14ac:dyDescent="0.3">
      <c r="A10" s="18">
        <f t="shared" si="0"/>
        <v>1.6000000000000005</v>
      </c>
      <c r="B10" s="1" t="s">
        <v>105</v>
      </c>
      <c r="C10" s="25">
        <f>'Financial Statements'!B51/'Financial Statements'!B12*365</f>
        <v>104.68527730310539</v>
      </c>
      <c r="D10" s="25">
        <f>'Financial Statements'!C51/'Financial Statements'!C12*365</f>
        <v>93.851071222315596</v>
      </c>
      <c r="E10" s="25">
        <f>'Financial Statements'!D51/'Financial Statements'!D12*365</f>
        <v>91.048189715674198</v>
      </c>
      <c r="G10" s="26"/>
      <c r="H10" s="26"/>
    </row>
    <row r="11" spans="1:10" x14ac:dyDescent="0.3">
      <c r="A11" s="18">
        <f t="shared" si="0"/>
        <v>1.7000000000000006</v>
      </c>
      <c r="B11" s="1" t="s">
        <v>106</v>
      </c>
      <c r="C11" s="24">
        <f>'Financial Statements'!B38/'Financial Statements'!B12*365</f>
        <v>46.018090236461397</v>
      </c>
      <c r="D11" s="24">
        <f>'Financial Statements'!C38/'Financial Statements'!C12*365</f>
        <v>45.034392739258436</v>
      </c>
      <c r="E11" s="24">
        <f>'Financial Statements'!D38/'Financial Statements'!D12*365</f>
        <v>34.700605688875257</v>
      </c>
      <c r="G11" s="26"/>
      <c r="H11" s="26"/>
    </row>
    <row r="12" spans="1:10" x14ac:dyDescent="0.3">
      <c r="A12" s="18">
        <f t="shared" si="0"/>
        <v>1.8000000000000007</v>
      </c>
      <c r="B12" s="1" t="s">
        <v>107</v>
      </c>
      <c r="C12" s="24">
        <f>('Financial Statements'!B85/365)+('Financial Statements'!B38/365)+('Financial Statements'!B51/365)</f>
        <v>256.93972602739728</v>
      </c>
      <c r="D12" s="24">
        <f>('Financial Statements'!C85/365)+('Financial Statements'!C38/365)+('Financial Statements'!C51/365)</f>
        <v>214.7917808219178</v>
      </c>
      <c r="E12" s="24">
        <f>('Financial Statements'!D85/365)+('Financial Statements'!D38/365)+('Financial Statements'!D51/365)</f>
        <v>159.6958904109589</v>
      </c>
      <c r="G12" s="26"/>
      <c r="H12" s="26"/>
    </row>
    <row r="13" spans="1:10" x14ac:dyDescent="0.3">
      <c r="A13" s="18">
        <f t="shared" si="0"/>
        <v>1.9000000000000008</v>
      </c>
      <c r="B13" s="1" t="s">
        <v>108</v>
      </c>
      <c r="C13" s="23">
        <f>'List of Ratios'!C14/'Financial Statements'!B8</f>
        <v>-4.711052727678481E-2</v>
      </c>
      <c r="D13" s="23">
        <f>'List of Ratios'!D14/'Financial Statements'!C8</f>
        <v>2.557289573748623E-2</v>
      </c>
      <c r="E13" s="23">
        <f>'List of Ratios'!E14/'Financial Statements'!D8</f>
        <v>0.13959528623208203</v>
      </c>
      <c r="G13" s="26"/>
      <c r="H13" s="26"/>
    </row>
    <row r="14" spans="1:10" x14ac:dyDescent="0.3">
      <c r="A14" s="18"/>
      <c r="B14" s="3" t="s">
        <v>109</v>
      </c>
      <c r="C14">
        <f>'Financial Statements'!B42-'Financial Statements'!B56</f>
        <v>-18577</v>
      </c>
      <c r="D14">
        <f>'Financial Statements'!C42-'Financial Statements'!C56</f>
        <v>9355</v>
      </c>
      <c r="E14">
        <f>'Financial Statements'!D42-'Financial Statements'!D56</f>
        <v>38321</v>
      </c>
      <c r="G14" s="26"/>
      <c r="H14" s="26"/>
    </row>
    <row r="15" spans="1:10" x14ac:dyDescent="0.3">
      <c r="A15" s="18"/>
      <c r="G15" s="26"/>
      <c r="H15" s="26"/>
    </row>
    <row r="16" spans="1:10" x14ac:dyDescent="0.3">
      <c r="A16" s="18">
        <f>+A4+1</f>
        <v>2</v>
      </c>
      <c r="B16" s="17" t="s">
        <v>110</v>
      </c>
      <c r="G16" s="26"/>
      <c r="H16" s="26"/>
    </row>
    <row r="17" spans="1:8" x14ac:dyDescent="0.3">
      <c r="A17" s="18">
        <f>+A16+0.1</f>
        <v>2.1</v>
      </c>
      <c r="B17" s="1" t="s">
        <v>9</v>
      </c>
      <c r="C17" s="29">
        <f>('Financial Statements'!B13/'Financial Statements'!B8)*100</f>
        <v>43.309630561360088</v>
      </c>
      <c r="D17" s="29">
        <f>('Financial Statements'!C13/'Financial Statements'!C8)*100</f>
        <v>41.779359625167778</v>
      </c>
      <c r="E17" s="29">
        <f>('Financial Statements'!D13/'Financial Statements'!D8)*100</f>
        <v>38.233247727810863</v>
      </c>
      <c r="G17" s="26"/>
      <c r="H17" s="26"/>
    </row>
    <row r="18" spans="1:8" x14ac:dyDescent="0.3">
      <c r="A18" s="18">
        <f>+A17+0.1</f>
        <v>2.2000000000000002</v>
      </c>
      <c r="B18" s="1" t="s">
        <v>111</v>
      </c>
      <c r="C18" s="29">
        <f>C19/'Financial Statements'!B8*100</f>
        <v>33.815757440506381</v>
      </c>
      <c r="D18" s="29">
        <f>D19/'Financial Statements'!C8*100</f>
        <v>36.640178012503519</v>
      </c>
      <c r="E18" s="29">
        <f>E19/'Financial Statements'!D8*100</f>
        <v>29.495655975083331</v>
      </c>
      <c r="G18" s="26"/>
      <c r="H18" s="26"/>
    </row>
    <row r="19" spans="1:8" x14ac:dyDescent="0.3">
      <c r="A19" s="18"/>
      <c r="B19" s="3" t="s">
        <v>112</v>
      </c>
      <c r="C19" s="18">
        <f>'Financial Statements'!B22+'Financial Statements'!B113+'Financial Statements'!B114+'Financial Statements'!B79</f>
        <v>133345</v>
      </c>
      <c r="D19">
        <f>'Financial Statements'!C22+'Financial Statements'!C113+'Financial Statements'!C114+'Financial Statements'!C79</f>
        <v>134036</v>
      </c>
      <c r="E19">
        <f>'Financial Statements'!D22+'Financial Statements'!D113+'Financial Statements'!D114+'Financial Statements'!D79</f>
        <v>80970</v>
      </c>
      <c r="G19" s="26"/>
      <c r="H19" s="26"/>
    </row>
    <row r="20" spans="1:8" x14ac:dyDescent="0.3">
      <c r="A20" s="18">
        <f>+A18+0.1</f>
        <v>2.3000000000000003</v>
      </c>
      <c r="B20" s="1" t="s">
        <v>113</v>
      </c>
      <c r="C20" s="29">
        <f>'List of Ratios'!C21/'Financial Statements'!B8*100</f>
        <v>30.999827554726018</v>
      </c>
      <c r="D20" s="29">
        <f>'List of Ratios'!D21/'Financial Statements'!C8*100</f>
        <v>33.555575602008652</v>
      </c>
      <c r="E20" s="29">
        <f>'List of Ratios'!E21/'Financial Statements'!D8*100</f>
        <v>25.468189352130121</v>
      </c>
      <c r="G20" s="26"/>
      <c r="H20" s="26"/>
    </row>
    <row r="21" spans="1:8" x14ac:dyDescent="0.3">
      <c r="A21" s="18"/>
      <c r="B21" s="3" t="s">
        <v>114</v>
      </c>
      <c r="C21">
        <f>'Financial Statements'!B22+'Financial Statements'!B113+'Financial Statements'!B114</f>
        <v>122241</v>
      </c>
      <c r="D21">
        <f>'Financial Statements'!C22+'Financial Statements'!C113+'Financial Statements'!C114</f>
        <v>122752</v>
      </c>
      <c r="E21">
        <f>'Financial Statements'!D22+'Financial Statements'!D113+'Financial Statements'!D114</f>
        <v>69914</v>
      </c>
      <c r="G21" s="26"/>
      <c r="H21" s="26"/>
    </row>
    <row r="22" spans="1:8" x14ac:dyDescent="0.3">
      <c r="A22" s="18">
        <f>+A20+0.1</f>
        <v>2.4000000000000004</v>
      </c>
      <c r="B22" s="1" t="s">
        <v>115</v>
      </c>
      <c r="C22" s="34">
        <f>'Financial Statements'!B22/'Financial Statements'!B8</f>
        <v>0.25309640705199732</v>
      </c>
      <c r="D22" s="34">
        <f>'Financial Statements'!C22/'Financial Statements'!C8</f>
        <v>0.25881793355694238</v>
      </c>
      <c r="E22" s="34">
        <f>'Financial Statements'!D22/'Financial Statements'!D8</f>
        <v>0.20913611278072236</v>
      </c>
      <c r="G22" s="26"/>
      <c r="H22" s="26"/>
    </row>
    <row r="23" spans="1:8" x14ac:dyDescent="0.3">
      <c r="A23" s="18"/>
      <c r="G23" s="26"/>
      <c r="H23" s="26"/>
    </row>
    <row r="24" spans="1:8" x14ac:dyDescent="0.3">
      <c r="A24" s="18">
        <f>+A16+1</f>
        <v>3</v>
      </c>
      <c r="B24" s="7" t="s">
        <v>116</v>
      </c>
      <c r="G24" s="26"/>
      <c r="H24" s="26"/>
    </row>
    <row r="25" spans="1:8" x14ac:dyDescent="0.3">
      <c r="A25" s="18">
        <f t="shared" ref="A25:A30" si="1">+A24+0.1</f>
        <v>3.1</v>
      </c>
      <c r="B25" s="1" t="s">
        <v>117</v>
      </c>
      <c r="C25" s="23">
        <f>'Financial Statements'!B62/'Financial Statements'!B68</f>
        <v>5.9615369434796337</v>
      </c>
      <c r="D25" s="23">
        <f>'Financial Statements'!C62/'Financial Statements'!C68</f>
        <v>4.5635124425423994</v>
      </c>
      <c r="E25" s="23">
        <f>'Financial Statements'!D62/'Financial Statements'!D68</f>
        <v>3.9570394404566951</v>
      </c>
      <c r="G25" s="26"/>
      <c r="H25" s="26"/>
    </row>
    <row r="26" spans="1:8" x14ac:dyDescent="0.3">
      <c r="A26" s="18">
        <f t="shared" si="1"/>
        <v>3.2</v>
      </c>
      <c r="B26" s="1" t="s">
        <v>118</v>
      </c>
      <c r="C26" s="24">
        <f>'Financial Statements'!B62/'Financial Statements'!B48</f>
        <v>0.85635355983614692</v>
      </c>
      <c r="D26" s="24">
        <f>'Financial Statements'!C62/'Financial Statements'!C48</f>
        <v>0.82025743443057308</v>
      </c>
      <c r="E26" s="24">
        <f>'Financial Statements'!D62/'Financial Statements'!D48</f>
        <v>0.79826668477992391</v>
      </c>
      <c r="G26" s="26"/>
      <c r="H26" s="26"/>
    </row>
    <row r="27" spans="1:8" x14ac:dyDescent="0.3">
      <c r="A27" s="18">
        <f t="shared" si="1"/>
        <v>3.3000000000000003</v>
      </c>
      <c r="B27" s="1" t="s">
        <v>119</v>
      </c>
      <c r="C27" s="23">
        <f>'Financial Statements'!B61/'Financial Statements'!B68</f>
        <v>2.9227383959583202</v>
      </c>
      <c r="D27" s="23">
        <f>'Financial Statements'!C61/'Financial Statements'!C68</f>
        <v>2.5745918529085432</v>
      </c>
      <c r="E27" s="23">
        <f>'Financial Statements'!D61/'Financial Statements'!D68</f>
        <v>2.3440364866312615</v>
      </c>
      <c r="G27" s="26"/>
      <c r="H27" s="26"/>
    </row>
    <row r="28" spans="1:8" x14ac:dyDescent="0.3">
      <c r="A28" s="18">
        <f t="shared" si="1"/>
        <v>3.4000000000000004</v>
      </c>
      <c r="B28" s="1" t="s">
        <v>120</v>
      </c>
      <c r="C28" s="24">
        <f>C19/'Financial Statements'!B114</f>
        <v>46.542757417102969</v>
      </c>
      <c r="D28" s="24">
        <f>D19/'Financial Statements'!C114</f>
        <v>49.883141049497581</v>
      </c>
      <c r="E28" s="24">
        <f>E19/'Financial Statements'!D114</f>
        <v>26.972018654230514</v>
      </c>
      <c r="G28" s="26"/>
      <c r="H28" s="26"/>
    </row>
    <row r="29" spans="1:8" x14ac:dyDescent="0.3">
      <c r="A29" s="18">
        <f t="shared" si="1"/>
        <v>3.5000000000000004</v>
      </c>
      <c r="B29" s="1" t="s">
        <v>121</v>
      </c>
      <c r="C29">
        <f>'Financial Statements'!B18/'Financial Statements'!B61</f>
        <v>0.80645640475081193</v>
      </c>
      <c r="D29">
        <f>'Financial Statements'!C18/'Financial Statements'!C61</f>
        <v>0.67074019121965633</v>
      </c>
      <c r="E29">
        <f>'Financial Statements'!D18/'Financial Statements'!D61</f>
        <v>0.43281077587051198</v>
      </c>
      <c r="G29" s="26"/>
      <c r="H29" s="26"/>
    </row>
    <row r="30" spans="1:8" x14ac:dyDescent="0.3">
      <c r="A30" s="18">
        <f t="shared" si="1"/>
        <v>3.6000000000000005</v>
      </c>
      <c r="B30" s="1" t="s">
        <v>122</v>
      </c>
      <c r="C30" s="31">
        <f>(C31/'Financial Statements'!B27)*100</f>
        <v>1.6725987842966834</v>
      </c>
      <c r="D30" s="31">
        <f>(D31/'Financial Statements'!C27)*100</f>
        <v>1.6754352602604161</v>
      </c>
      <c r="E30" s="31">
        <f>(E31/'Financial Statements'!D27)*100</f>
        <v>1.5618780168851218</v>
      </c>
      <c r="G30" s="26"/>
      <c r="H30" s="26"/>
    </row>
    <row r="31" spans="1:8" x14ac:dyDescent="0.3">
      <c r="A31" s="18"/>
      <c r="B31" s="3" t="s">
        <v>123</v>
      </c>
      <c r="C31">
        <f>'Financial Statements'!B22+('Financial Statements'!B45-'Financial Statements'!C45+'Financial Statements'!B79)+('Financial Statements'!B61-'Financial Statements'!B105)</f>
        <v>271228</v>
      </c>
      <c r="D31">
        <f>'Financial Statements'!C22+('Financial Statements'!C45-'Financial Statements'!D45+'Financial Statements'!C79)+('Financial Statements'!C61-'Financial Statements'!C105)</f>
        <v>279819</v>
      </c>
      <c r="E31">
        <f>'Financial Statements'!D22+('Financial Statements'!D45-'Financial Statements'!E45+'Financial Statements'!D79)+('Financial Statements'!D61-'Financial Statements'!D105)</f>
        <v>271018.93212474644</v>
      </c>
      <c r="G31" s="26"/>
      <c r="H31" s="26"/>
    </row>
    <row r="32" spans="1:8" x14ac:dyDescent="0.3">
      <c r="A32" s="18"/>
      <c r="G32" s="26"/>
      <c r="H32" s="26"/>
    </row>
    <row r="33" spans="1:8" x14ac:dyDescent="0.3">
      <c r="A33" s="18">
        <f>+A24+1</f>
        <v>4</v>
      </c>
      <c r="B33" s="17" t="s">
        <v>124</v>
      </c>
      <c r="G33" s="26"/>
      <c r="H33" s="26"/>
    </row>
    <row r="34" spans="1:8" x14ac:dyDescent="0.3">
      <c r="A34" s="18">
        <f>+A33+0.1</f>
        <v>4.0999999999999996</v>
      </c>
      <c r="B34" s="1" t="s">
        <v>125</v>
      </c>
      <c r="C34" s="28">
        <f>'Financial Statements'!B8/'Financial Statements'!B48/365</f>
        <v>3.0626091336239227E-3</v>
      </c>
      <c r="D34" s="28">
        <f>'Financial Statements'!C8/'Financial Statements'!C48/365</f>
        <v>2.8553636622138437E-3</v>
      </c>
      <c r="E34" s="28">
        <f>'Financial Statements'!D8/'Financial Statements'!D48/365</f>
        <v>2.3220863088813386E-3</v>
      </c>
      <c r="G34" s="26"/>
      <c r="H34" s="26"/>
    </row>
    <row r="35" spans="1:8" x14ac:dyDescent="0.3">
      <c r="A35" s="18">
        <f>+A34+0.1</f>
        <v>4.1999999999999993</v>
      </c>
      <c r="B35" s="1" t="s">
        <v>126</v>
      </c>
      <c r="C35" s="28">
        <f>'Financial Statements'!B8/'Financial Statements'!B47/12</f>
        <v>0.15118779234721264</v>
      </c>
      <c r="D35" s="28">
        <f>'Financial Statements'!C8/'Financial Statements'!C47/12</f>
        <v>0.14102472174162448</v>
      </c>
      <c r="E35" s="28">
        <f>'Financial Statements'!D8/'Financial Statements'!D47/12</f>
        <v>0.12696683779658666</v>
      </c>
      <c r="G35" s="26"/>
      <c r="H35" s="26"/>
    </row>
    <row r="36" spans="1:8" x14ac:dyDescent="0.3">
      <c r="A36" s="18">
        <f>+A35+0.1</f>
        <v>4.2999999999999989</v>
      </c>
      <c r="B36" s="1" t="s">
        <v>127</v>
      </c>
      <c r="C36" s="23">
        <f>'Financial Statements'!B12/'Financial Statements'!B85/12</f>
        <v>12.553122192273136</v>
      </c>
      <c r="D36" s="23">
        <f>'Financial Statements'!C12/'Financial Statements'!C85/12</f>
        <v>-6.7177958617209184</v>
      </c>
      <c r="E36" s="23">
        <f>'Financial Statements'!D12/'Financial Statements'!D85/12</f>
        <v>-111.25918635170603</v>
      </c>
      <c r="G36" s="26"/>
      <c r="H36" s="26"/>
    </row>
    <row r="37" spans="1:8" x14ac:dyDescent="0.3">
      <c r="A37" s="18">
        <f>+A36+0.1</f>
        <v>4.3999999999999986</v>
      </c>
      <c r="B37" s="1" t="s">
        <v>128</v>
      </c>
      <c r="C37" s="23">
        <f>'Financial Statements'!B22/'Financial Statements'!B48</f>
        <v>0.28292440929256851</v>
      </c>
      <c r="D37" s="23">
        <f>'Financial Statements'!C22/'Financial Statements'!C48</f>
        <v>0.26974205275183616</v>
      </c>
      <c r="E37" s="23">
        <f>'Financial Statements'!D22/'Financial Statements'!D48</f>
        <v>0.1772557180259843</v>
      </c>
      <c r="G37" s="26"/>
      <c r="H37" s="26"/>
    </row>
    <row r="38" spans="1:8" x14ac:dyDescent="0.3">
      <c r="A38" s="18"/>
      <c r="G38" s="26"/>
      <c r="H38" s="26"/>
    </row>
    <row r="39" spans="1:8" x14ac:dyDescent="0.3">
      <c r="A39" s="18">
        <f>+A33+1</f>
        <v>5</v>
      </c>
      <c r="B39" s="17" t="s">
        <v>129</v>
      </c>
      <c r="G39" s="26"/>
      <c r="H39" s="26"/>
    </row>
    <row r="40" spans="1:8" x14ac:dyDescent="0.3">
      <c r="A40" s="18">
        <f>+A39+0.1</f>
        <v>5.0999999999999996</v>
      </c>
      <c r="B40" s="1" t="s">
        <v>130</v>
      </c>
      <c r="C40" s="24">
        <f>'Financial Statements'!B68/'Financial Statements'!B24</f>
        <v>8239.3495934959337</v>
      </c>
      <c r="D40" s="24">
        <f>'Financial Statements'!C68/'Financial Statements'!C24</f>
        <v>11126.984126984127</v>
      </c>
      <c r="E40" s="24">
        <f>'Financial Statements'!D68/'Financial Statements'!D24</f>
        <v>19739.87915407855</v>
      </c>
      <c r="G40" s="26"/>
      <c r="H40" s="26"/>
    </row>
    <row r="41" spans="1:8" x14ac:dyDescent="0.3">
      <c r="A41" s="18">
        <f>+A40+0.1</f>
        <v>5.1999999999999993</v>
      </c>
      <c r="B41" s="3" t="s">
        <v>131</v>
      </c>
      <c r="C41">
        <f>'Financial Statements'!B24</f>
        <v>6.15</v>
      </c>
      <c r="D41">
        <f>'Financial Statements'!C24</f>
        <v>5.67</v>
      </c>
      <c r="E41">
        <f>'Financial Statements'!D24</f>
        <v>3.31</v>
      </c>
      <c r="G41" s="26"/>
      <c r="H41" s="26"/>
    </row>
    <row r="42" spans="1:8" x14ac:dyDescent="0.3">
      <c r="A42" s="18">
        <f>+A41+0.1</f>
        <v>5.2999999999999989</v>
      </c>
      <c r="B42" s="1" t="s">
        <v>132</v>
      </c>
      <c r="C42" s="35">
        <f>('List of Ratios'!C54/'Financial Statements'!B27)/(('Financial Statements'!B48-'Financial Statements'!B62)/'Financial Statements'!B28)</f>
        <v>3.1468460248531144E-3</v>
      </c>
      <c r="D42" s="35">
        <f>('List of Ratios'!D54/'Financial Statements'!C27)/(('Financial Statements'!C48-'Financial Statements'!C62)/'Financial Statements'!C28)</f>
        <v>2.2214286000500762E-3</v>
      </c>
      <c r="E42" s="35">
        <f>('List of Ratios'!E54/'Financial Statements'!D27)/(('Financial Statements'!D48-'Financial Statements'!D62)/'Financial Statements'!D28)</f>
        <v>1.442518218659803E-3</v>
      </c>
      <c r="G42" s="26"/>
      <c r="H42" s="26"/>
    </row>
    <row r="43" spans="1:8" x14ac:dyDescent="0.3">
      <c r="A43" s="18">
        <f>+A42+0.1</f>
        <v>5.3999999999999986</v>
      </c>
      <c r="B43" s="3" t="s">
        <v>133</v>
      </c>
      <c r="C43" s="23">
        <f>('Financial Statements'!B68/'Financial Statements'!B27)*100</f>
        <v>0.3124822127430853</v>
      </c>
      <c r="D43" s="23">
        <f>('Financial Statements'!C68/'Financial Statements'!C27)*100</f>
        <v>0.37775565837141029</v>
      </c>
      <c r="E43" s="23">
        <f>('Financial Statements'!D68/'Financial Statements'!D27)*100</f>
        <v>0.37654767120949317</v>
      </c>
      <c r="G43" s="26"/>
      <c r="H43" s="26"/>
    </row>
    <row r="44" spans="1:8" x14ac:dyDescent="0.3">
      <c r="A44" s="18">
        <f>+A43+0.1</f>
        <v>5.4999999999999982</v>
      </c>
      <c r="B44" s="1" t="s">
        <v>134</v>
      </c>
      <c r="G44" s="26"/>
      <c r="H44" s="26"/>
    </row>
    <row r="45" spans="1:8" x14ac:dyDescent="0.3">
      <c r="A45" s="18"/>
      <c r="B45" s="3" t="s">
        <v>135</v>
      </c>
      <c r="G45" s="26"/>
      <c r="H45" s="26"/>
    </row>
    <row r="46" spans="1:8" x14ac:dyDescent="0.3">
      <c r="A46" s="18">
        <f>+A44+0.1</f>
        <v>5.5999999999999979</v>
      </c>
      <c r="B46" s="1" t="s">
        <v>136</v>
      </c>
      <c r="C46" s="30">
        <f>('Financial Statements'!B102/'Financial Statements'!B27)/'List of Ratios'!C54</f>
        <v>-5.7784201118362903E-6</v>
      </c>
      <c r="D46" s="30">
        <f>('Financial Statements'!C102/'Financial Statements'!C27)/'List of Ratios'!D54</f>
        <v>-6.2412381805965023E-6</v>
      </c>
      <c r="E46" s="30">
        <f>('Financial Statements'!D102/'Financial Statements'!D27)/'List of Ratios'!E54</f>
        <v>-8.6970574771798081E-6</v>
      </c>
      <c r="G46" s="26"/>
      <c r="H46" s="26"/>
    </row>
    <row r="47" spans="1:8" x14ac:dyDescent="0.3">
      <c r="A47" s="18">
        <f>+A45+0.1</f>
        <v>0.1</v>
      </c>
      <c r="B47" s="1" t="s">
        <v>137</v>
      </c>
      <c r="C47" s="29">
        <f>'Financial Statements'!B22/'Financial Statements'!B68*100</f>
        <v>196.95887275023682</v>
      </c>
      <c r="D47" s="29">
        <f>'Financial Statements'!C22/'Financial Statements'!C68*100</f>
        <v>150.07132667617688</v>
      </c>
      <c r="E47" s="29">
        <f>'Financial Statements'!D22/'Financial Statements'!D68*100</f>
        <v>87.866358530127485</v>
      </c>
      <c r="G47" s="26"/>
      <c r="H47" s="26"/>
    </row>
    <row r="48" spans="1:8" x14ac:dyDescent="0.3">
      <c r="A48" s="18">
        <f>+A46+0.1</f>
        <v>5.6999999999999975</v>
      </c>
      <c r="B48" s="1" t="s">
        <v>138</v>
      </c>
      <c r="C48">
        <f>C21/('Financial Statements'!B48-'Financial Statements'!B56)</f>
        <v>0.61497788935116937</v>
      </c>
      <c r="D48">
        <f>D21/('Financial Statements'!C48-'Financial Statements'!C56)</f>
        <v>0.54430407811245962</v>
      </c>
      <c r="E48">
        <f>E21/('Financial Statements'!D48-'Financial Statements'!D56)</f>
        <v>0.31997839777387227</v>
      </c>
      <c r="G48" s="26"/>
      <c r="H48" s="26"/>
    </row>
    <row r="49" spans="1:8" x14ac:dyDescent="0.3">
      <c r="A49" s="18">
        <f>+A47+0.1</f>
        <v>0.2</v>
      </c>
      <c r="B49" s="1" t="s">
        <v>128</v>
      </c>
      <c r="C49">
        <f>'Financial Statements'!B22/'Financial Statements'!B48</f>
        <v>0.28292440929256851</v>
      </c>
      <c r="D49">
        <f>'Financial Statements'!C22/'Financial Statements'!C48</f>
        <v>0.26974205275183616</v>
      </c>
      <c r="E49">
        <f>'Financial Statements'!D22/'Financial Statements'!D48</f>
        <v>0.1772557180259843</v>
      </c>
      <c r="G49" s="26"/>
      <c r="H49" s="26"/>
    </row>
    <row r="50" spans="1:8" x14ac:dyDescent="0.3">
      <c r="A50" s="18">
        <f>+A48+0.1</f>
        <v>5.7999999999999972</v>
      </c>
      <c r="B50" s="1" t="s">
        <v>139</v>
      </c>
      <c r="C50" s="24">
        <f>C51/C19</f>
        <v>59.928111650230598</v>
      </c>
      <c r="D50" s="24">
        <f t="shared" ref="D50:E50" si="2">D51/D19</f>
        <v>64.994345548957</v>
      </c>
      <c r="E50" s="24">
        <f t="shared" si="2"/>
        <v>74.646037621341236</v>
      </c>
      <c r="G50" s="26"/>
      <c r="H50" s="26"/>
    </row>
    <row r="51" spans="1:8" x14ac:dyDescent="0.3">
      <c r="A51" s="18"/>
      <c r="B51" s="3" t="s">
        <v>140</v>
      </c>
      <c r="C51">
        <f>C54*'Financial Statements'!B68+'Financial Statements'!B105-'Financial Statements'!B110</f>
        <v>7991114.0479999995</v>
      </c>
      <c r="D51">
        <f>D54*'Financial Statements'!C68+'Financial Statements'!C105-'Financial Statements'!C110</f>
        <v>8711582.0999999996</v>
      </c>
      <c r="E51">
        <f>E54*'Financial Statements'!D68+'Financial Statements'!D105-'Financial Statements'!D110</f>
        <v>6044089.6661999999</v>
      </c>
      <c r="G51" s="26"/>
      <c r="H51" s="26"/>
    </row>
    <row r="52" spans="1:8" x14ac:dyDescent="0.3">
      <c r="G52" s="26"/>
      <c r="H52" s="26"/>
    </row>
    <row r="53" spans="1:8" x14ac:dyDescent="0.3">
      <c r="B53" s="1" t="s">
        <v>156</v>
      </c>
      <c r="C53" t="s">
        <v>153</v>
      </c>
      <c r="D53" t="s">
        <v>154</v>
      </c>
      <c r="E53" t="s">
        <v>155</v>
      </c>
      <c r="G53" s="26"/>
      <c r="H53" s="26"/>
    </row>
    <row r="54" spans="1:8" x14ac:dyDescent="0.3">
      <c r="C54">
        <v>158.38399999999999</v>
      </c>
      <c r="D54">
        <v>138.79</v>
      </c>
      <c r="E54">
        <v>93.305800000000005</v>
      </c>
      <c r="G54" s="26"/>
      <c r="H54" s="26"/>
    </row>
    <row r="55" spans="1:8" x14ac:dyDescent="0.3">
      <c r="G55" s="26"/>
      <c r="H55" s="26"/>
    </row>
    <row r="56" spans="1:8" x14ac:dyDescent="0.3">
      <c r="G56" s="26"/>
      <c r="H56" s="26"/>
    </row>
    <row r="57" spans="1:8" x14ac:dyDescent="0.3">
      <c r="G57" s="26"/>
      <c r="H57" s="26"/>
    </row>
    <row r="58" spans="1:8" x14ac:dyDescent="0.3">
      <c r="G58" s="26"/>
      <c r="H58" s="26"/>
    </row>
    <row r="59" spans="1:8" x14ac:dyDescent="0.3">
      <c r="G59" s="26"/>
      <c r="H59" s="26"/>
    </row>
    <row r="60" spans="1:8" x14ac:dyDescent="0.3">
      <c r="G60" s="26"/>
      <c r="H60" s="26"/>
    </row>
    <row r="61" spans="1:8" x14ac:dyDescent="0.3">
      <c r="G61" s="26"/>
      <c r="H61" s="26"/>
    </row>
    <row r="62" spans="1:8" x14ac:dyDescent="0.3">
      <c r="G62" s="26"/>
      <c r="H62" s="26"/>
    </row>
    <row r="63" spans="1:8" x14ac:dyDescent="0.3">
      <c r="G63" s="26"/>
      <c r="H63" s="26"/>
    </row>
    <row r="64" spans="1:8" x14ac:dyDescent="0.3">
      <c r="G64" s="26"/>
      <c r="H64" s="26"/>
    </row>
    <row r="65" spans="7:8" x14ac:dyDescent="0.3">
      <c r="G65" s="26"/>
      <c r="H65" s="26"/>
    </row>
    <row r="66" spans="7:8" x14ac:dyDescent="0.3">
      <c r="G66" s="26"/>
      <c r="H66" s="26"/>
    </row>
    <row r="67" spans="7:8" x14ac:dyDescent="0.3">
      <c r="G67" s="26"/>
      <c r="H67" s="26"/>
    </row>
    <row r="68" spans="7:8" x14ac:dyDescent="0.3">
      <c r="G68" s="26"/>
      <c r="H68" s="26"/>
    </row>
    <row r="69" spans="7:8" x14ac:dyDescent="0.3">
      <c r="G69" s="26"/>
      <c r="H69" s="26"/>
    </row>
    <row r="70" spans="7:8" x14ac:dyDescent="0.3">
      <c r="G70" s="26"/>
      <c r="H70" s="26"/>
    </row>
    <row r="71" spans="7:8" x14ac:dyDescent="0.3">
      <c r="G71" s="26"/>
      <c r="H71" s="26"/>
    </row>
    <row r="72" spans="7:8" x14ac:dyDescent="0.3">
      <c r="G72" s="26"/>
      <c r="H72" s="26"/>
    </row>
    <row r="73" spans="7:8" x14ac:dyDescent="0.3">
      <c r="G73" s="26"/>
      <c r="H73" s="26"/>
    </row>
    <row r="74" spans="7:8" x14ac:dyDescent="0.3">
      <c r="G74" s="26"/>
      <c r="H74" s="26"/>
    </row>
    <row r="75" spans="7:8" x14ac:dyDescent="0.3">
      <c r="G75" s="26"/>
      <c r="H75" s="26"/>
    </row>
    <row r="76" spans="7:8" x14ac:dyDescent="0.3">
      <c r="G76" s="26"/>
      <c r="H76" s="26"/>
    </row>
    <row r="77" spans="7:8" x14ac:dyDescent="0.3">
      <c r="G77" s="26"/>
      <c r="H77" s="26"/>
    </row>
    <row r="78" spans="7:8" x14ac:dyDescent="0.3">
      <c r="G78" s="26"/>
      <c r="H78" s="26"/>
    </row>
    <row r="79" spans="7:8" x14ac:dyDescent="0.3">
      <c r="G79" s="26"/>
      <c r="H79" s="26"/>
    </row>
    <row r="80" spans="7:8" x14ac:dyDescent="0.3">
      <c r="G80" s="26"/>
      <c r="H80" s="26"/>
    </row>
    <row r="81" spans="7:8" x14ac:dyDescent="0.3">
      <c r="G81" s="26"/>
      <c r="H81" s="26"/>
    </row>
    <row r="82" spans="7:8" x14ac:dyDescent="0.3">
      <c r="G82" s="26"/>
      <c r="H82" s="26"/>
    </row>
    <row r="83" spans="7:8" x14ac:dyDescent="0.3">
      <c r="G83" s="26"/>
      <c r="H83" s="26"/>
    </row>
    <row r="84" spans="7:8" x14ac:dyDescent="0.3">
      <c r="G84" s="26"/>
      <c r="H84" s="26"/>
    </row>
    <row r="85" spans="7:8" x14ac:dyDescent="0.3">
      <c r="G85" s="26"/>
      <c r="H85" s="26"/>
    </row>
    <row r="86" spans="7:8" x14ac:dyDescent="0.3">
      <c r="G86" s="26"/>
      <c r="H86" s="26"/>
    </row>
    <row r="87" spans="7:8" x14ac:dyDescent="0.3">
      <c r="G87" s="26"/>
      <c r="H87" s="26"/>
    </row>
    <row r="88" spans="7:8" x14ac:dyDescent="0.3">
      <c r="G88" s="26"/>
      <c r="H88" s="26"/>
    </row>
    <row r="89" spans="7:8" x14ac:dyDescent="0.3">
      <c r="G89" s="26"/>
      <c r="H89" s="26"/>
    </row>
    <row r="90" spans="7:8" x14ac:dyDescent="0.3">
      <c r="G90" s="26"/>
      <c r="H90" s="26"/>
    </row>
    <row r="91" spans="7:8" x14ac:dyDescent="0.3">
      <c r="G91" s="26"/>
      <c r="H91" s="26"/>
    </row>
    <row r="92" spans="7:8" x14ac:dyDescent="0.3">
      <c r="G92" s="26"/>
      <c r="H92" s="26"/>
    </row>
    <row r="93" spans="7:8" x14ac:dyDescent="0.3">
      <c r="G93" s="26"/>
      <c r="H93" s="26"/>
    </row>
    <row r="94" spans="7:8" x14ac:dyDescent="0.3">
      <c r="G94" s="26"/>
      <c r="H94" s="26"/>
    </row>
    <row r="95" spans="7:8" x14ac:dyDescent="0.3">
      <c r="G95" s="26"/>
      <c r="H95" s="26"/>
    </row>
    <row r="96" spans="7:8" x14ac:dyDescent="0.3">
      <c r="G96" s="26"/>
      <c r="H96" s="26"/>
    </row>
    <row r="97" spans="7:8" x14ac:dyDescent="0.3">
      <c r="G97" s="26"/>
      <c r="H97" s="26"/>
    </row>
    <row r="98" spans="7:8" x14ac:dyDescent="0.3">
      <c r="G98" s="26"/>
      <c r="H98" s="26"/>
    </row>
    <row r="99" spans="7:8" x14ac:dyDescent="0.3">
      <c r="G99" s="26"/>
      <c r="H99" s="26"/>
    </row>
    <row r="100" spans="7:8" x14ac:dyDescent="0.3">
      <c r="G100" s="26"/>
      <c r="H100" s="26"/>
    </row>
    <row r="101" spans="7:8" x14ac:dyDescent="0.3">
      <c r="G101" s="26"/>
      <c r="H101" s="26"/>
    </row>
    <row r="102" spans="7:8" x14ac:dyDescent="0.3">
      <c r="G102" s="26"/>
      <c r="H102" s="26"/>
    </row>
    <row r="103" spans="7:8" x14ac:dyDescent="0.3">
      <c r="G103" s="26"/>
      <c r="H103" s="26"/>
    </row>
    <row r="104" spans="7:8" x14ac:dyDescent="0.3">
      <c r="G104" s="26"/>
      <c r="H104" s="26"/>
    </row>
    <row r="105" spans="7:8" x14ac:dyDescent="0.3">
      <c r="G105" s="26"/>
      <c r="H105" s="26"/>
    </row>
    <row r="106" spans="7:8" x14ac:dyDescent="0.3">
      <c r="G106" s="26"/>
      <c r="H106" s="26"/>
    </row>
    <row r="107" spans="7:8" x14ac:dyDescent="0.3">
      <c r="G107" s="26"/>
      <c r="H107" s="26"/>
    </row>
    <row r="108" spans="7:8" x14ac:dyDescent="0.3">
      <c r="G108" s="26"/>
      <c r="H108" s="26"/>
    </row>
    <row r="109" spans="7:8" x14ac:dyDescent="0.3">
      <c r="G109" s="26"/>
      <c r="H109" s="26"/>
    </row>
    <row r="110" spans="7:8" x14ac:dyDescent="0.3">
      <c r="G110" s="26"/>
      <c r="H110" s="26"/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hardy ramsden</cp:lastModifiedBy>
  <dcterms:created xsi:type="dcterms:W3CDTF">2020-05-18T16:32:37Z</dcterms:created>
  <dcterms:modified xsi:type="dcterms:W3CDTF">2024-03-20T11:41:52Z</dcterms:modified>
</cp:coreProperties>
</file>