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/>
  <mc:AlternateContent xmlns:mc="http://schemas.openxmlformats.org/markup-compatibility/2006">
    <mc:Choice Requires="x15">
      <x15ac:absPath xmlns:x15ac="http://schemas.microsoft.com/office/spreadsheetml/2010/11/ac" url="/Users/krishnavalleesan/Downloads/"/>
    </mc:Choice>
  </mc:AlternateContent>
  <xr:revisionPtr revIDLastSave="0" documentId="8_{1BA64449-F342-484E-AA82-C962272B5B9C}" xr6:coauthVersionLast="47" xr6:coauthVersionMax="47" xr10:uidLastSave="{00000000-0000-0000-0000-000000000000}"/>
  <bookViews>
    <workbookView xWindow="0" yWindow="0" windowWidth="28800" windowHeight="18000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9" i="3" l="1"/>
  <c r="E130" i="3" s="1"/>
  <c r="D129" i="3"/>
  <c r="C129" i="3"/>
  <c r="G128" i="3"/>
  <c r="F128" i="3"/>
  <c r="G127" i="3"/>
  <c r="F127" i="3"/>
  <c r="G126" i="3"/>
  <c r="F126" i="3"/>
  <c r="E123" i="3"/>
  <c r="G122" i="3"/>
  <c r="E122" i="3"/>
  <c r="D122" i="3"/>
  <c r="C122" i="3"/>
  <c r="F122" i="3" s="1"/>
  <c r="G121" i="3"/>
  <c r="F121" i="3"/>
  <c r="G120" i="3"/>
  <c r="F120" i="3"/>
  <c r="E117" i="3"/>
  <c r="D117" i="3"/>
  <c r="D123" i="3" s="1"/>
  <c r="G123" i="3" s="1"/>
  <c r="C117" i="3"/>
  <c r="C123" i="3" s="1"/>
  <c r="F123" i="3" s="1"/>
  <c r="G116" i="3"/>
  <c r="F116" i="3"/>
  <c r="G115" i="3"/>
  <c r="F115" i="3"/>
  <c r="G114" i="3"/>
  <c r="F114" i="3"/>
  <c r="G113" i="3"/>
  <c r="F113" i="3"/>
  <c r="G112" i="3"/>
  <c r="F112" i="3"/>
  <c r="G108" i="3"/>
  <c r="F108" i="3"/>
  <c r="E108" i="3"/>
  <c r="D108" i="3"/>
  <c r="C108" i="3"/>
  <c r="G107" i="3"/>
  <c r="F107" i="3"/>
  <c r="G106" i="3"/>
  <c r="F106" i="3"/>
  <c r="G105" i="3"/>
  <c r="F105" i="3"/>
  <c r="G103" i="3"/>
  <c r="E103" i="3"/>
  <c r="E109" i="3" s="1"/>
  <c r="D103" i="3"/>
  <c r="D109" i="3" s="1"/>
  <c r="G109" i="3" s="1"/>
  <c r="C103" i="3"/>
  <c r="C109" i="3" s="1"/>
  <c r="F109" i="3" s="1"/>
  <c r="G102" i="3"/>
  <c r="F102" i="3"/>
  <c r="G101" i="3"/>
  <c r="F101" i="3"/>
  <c r="G100" i="3"/>
  <c r="F100" i="3"/>
  <c r="G99" i="3"/>
  <c r="F99" i="3"/>
  <c r="G98" i="3"/>
  <c r="F98" i="3"/>
  <c r="G97" i="3"/>
  <c r="F97" i="3"/>
  <c r="E94" i="3"/>
  <c r="D94" i="3"/>
  <c r="C94" i="3"/>
  <c r="I78" i="3"/>
  <c r="G78" i="3"/>
  <c r="E78" i="3"/>
  <c r="K78" i="3" s="1"/>
  <c r="D78" i="3"/>
  <c r="C78" i="3"/>
  <c r="F78" i="3" s="1"/>
  <c r="I77" i="3"/>
  <c r="G77" i="3"/>
  <c r="F77" i="3"/>
  <c r="I76" i="3"/>
  <c r="G76" i="3"/>
  <c r="F76" i="3"/>
  <c r="C74" i="3"/>
  <c r="I74" i="3" s="1"/>
  <c r="E73" i="3"/>
  <c r="D73" i="3"/>
  <c r="C73" i="3"/>
  <c r="I73" i="3" s="1"/>
  <c r="E69" i="3"/>
  <c r="K76" i="3" s="1"/>
  <c r="D69" i="3"/>
  <c r="J76" i="3" s="1"/>
  <c r="C69" i="3"/>
  <c r="G68" i="3"/>
  <c r="F68" i="3"/>
  <c r="G67" i="3"/>
  <c r="F67" i="3"/>
  <c r="I49" i="3"/>
  <c r="H49" i="3"/>
  <c r="I47" i="3"/>
  <c r="H47" i="3"/>
  <c r="C40" i="3"/>
  <c r="I36" i="3"/>
  <c r="H36" i="3"/>
  <c r="I35" i="3"/>
  <c r="H35" i="3"/>
  <c r="I34" i="3"/>
  <c r="H34" i="3"/>
  <c r="I11" i="3"/>
  <c r="H11" i="3"/>
  <c r="I10" i="3"/>
  <c r="H10" i="3"/>
  <c r="I9" i="3"/>
  <c r="H9" i="3"/>
  <c r="C29" i="3"/>
  <c r="D29" i="3"/>
  <c r="E29" i="3"/>
  <c r="D8" i="3"/>
  <c r="E8" i="3"/>
  <c r="C8" i="3"/>
  <c r="E56" i="3"/>
  <c r="D56" i="3"/>
  <c r="C56" i="3"/>
  <c r="D55" i="3"/>
  <c r="E55" i="3"/>
  <c r="C55" i="3"/>
  <c r="D54" i="3"/>
  <c r="E54" i="3"/>
  <c r="C54" i="3"/>
  <c r="I22" i="1"/>
  <c r="J22" i="1"/>
  <c r="H22" i="1"/>
  <c r="I18" i="1"/>
  <c r="J18" i="1"/>
  <c r="H18" i="1"/>
  <c r="I17" i="1"/>
  <c r="J17" i="1"/>
  <c r="H17" i="1"/>
  <c r="I16" i="1"/>
  <c r="J16" i="1"/>
  <c r="H16" i="1"/>
  <c r="I15" i="1"/>
  <c r="J15" i="1"/>
  <c r="H15" i="1"/>
  <c r="I13" i="1"/>
  <c r="J13" i="1"/>
  <c r="H13" i="1"/>
  <c r="H12" i="1"/>
  <c r="I12" i="1"/>
  <c r="J12" i="1"/>
  <c r="E69" i="1"/>
  <c r="E8" i="1"/>
  <c r="F69" i="1"/>
  <c r="F68" i="1"/>
  <c r="E68" i="1"/>
  <c r="F67" i="1"/>
  <c r="E67" i="1"/>
  <c r="F66" i="1"/>
  <c r="E66" i="1"/>
  <c r="F65" i="1"/>
  <c r="E65" i="1"/>
  <c r="F62" i="1"/>
  <c r="E62" i="1"/>
  <c r="F61" i="1"/>
  <c r="E61" i="1"/>
  <c r="F60" i="1"/>
  <c r="E60" i="1"/>
  <c r="F59" i="1"/>
  <c r="E59" i="1"/>
  <c r="F56" i="1"/>
  <c r="E56" i="1"/>
  <c r="F55" i="1"/>
  <c r="E55" i="1"/>
  <c r="F54" i="1"/>
  <c r="E54" i="1"/>
  <c r="F53" i="1"/>
  <c r="E53" i="1"/>
  <c r="F52" i="1"/>
  <c r="E52" i="1"/>
  <c r="F51" i="1"/>
  <c r="E51" i="1"/>
  <c r="F48" i="1"/>
  <c r="E48" i="1"/>
  <c r="F47" i="1"/>
  <c r="E47" i="1"/>
  <c r="F46" i="1"/>
  <c r="E46" i="1"/>
  <c r="F45" i="1"/>
  <c r="E45" i="1"/>
  <c r="F44" i="1"/>
  <c r="E44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17" i="1"/>
  <c r="E17" i="1"/>
  <c r="F16" i="1"/>
  <c r="E16" i="1"/>
  <c r="F15" i="1"/>
  <c r="E15" i="1"/>
  <c r="F13" i="1"/>
  <c r="E13" i="1"/>
  <c r="F8" i="1"/>
  <c r="F7" i="1"/>
  <c r="E7" i="1"/>
  <c r="F6" i="1"/>
  <c r="E6" i="1"/>
  <c r="C45" i="3"/>
  <c r="C46" i="3" s="1"/>
  <c r="C51" i="3"/>
  <c r="C50" i="3" s="1"/>
  <c r="D51" i="3"/>
  <c r="D50" i="3" s="1"/>
  <c r="E51" i="3"/>
  <c r="E50" i="3" s="1"/>
  <c r="E45" i="3"/>
  <c r="E46" i="3" s="1"/>
  <c r="D49" i="3"/>
  <c r="E49" i="3"/>
  <c r="C49" i="3"/>
  <c r="D48" i="3"/>
  <c r="E48" i="3"/>
  <c r="C48" i="3"/>
  <c r="D47" i="3"/>
  <c r="E47" i="3"/>
  <c r="C47" i="3"/>
  <c r="D46" i="3"/>
  <c r="D44" i="3"/>
  <c r="D45" i="3"/>
  <c r="C43" i="3"/>
  <c r="C42" i="3"/>
  <c r="D43" i="3"/>
  <c r="E43" i="3"/>
  <c r="D30" i="3"/>
  <c r="E30" i="3"/>
  <c r="C30" i="3"/>
  <c r="D42" i="3"/>
  <c r="E42" i="3"/>
  <c r="D40" i="3"/>
  <c r="E40" i="3"/>
  <c r="D41" i="3"/>
  <c r="E41" i="3"/>
  <c r="C41" i="3"/>
  <c r="D37" i="3"/>
  <c r="E37" i="3"/>
  <c r="C37" i="3"/>
  <c r="D36" i="3"/>
  <c r="E36" i="3"/>
  <c r="C36" i="3"/>
  <c r="D35" i="3"/>
  <c r="E35" i="3"/>
  <c r="C35" i="3"/>
  <c r="D34" i="3"/>
  <c r="E34" i="3"/>
  <c r="C34" i="3"/>
  <c r="D31" i="3"/>
  <c r="E31" i="3"/>
  <c r="C31" i="3"/>
  <c r="C25" i="3"/>
  <c r="D28" i="3"/>
  <c r="E28" i="3"/>
  <c r="C28" i="3"/>
  <c r="D27" i="3"/>
  <c r="E27" i="3"/>
  <c r="C27" i="3"/>
  <c r="D26" i="3"/>
  <c r="E26" i="3"/>
  <c r="C26" i="3"/>
  <c r="D25" i="3"/>
  <c r="E25" i="3"/>
  <c r="D22" i="3"/>
  <c r="E22" i="3"/>
  <c r="C22" i="3"/>
  <c r="D20" i="3"/>
  <c r="E20" i="3"/>
  <c r="C20" i="3"/>
  <c r="D21" i="3"/>
  <c r="E21" i="3"/>
  <c r="C21" i="3"/>
  <c r="D19" i="3"/>
  <c r="E19" i="3"/>
  <c r="C19" i="3"/>
  <c r="C18" i="3"/>
  <c r="D18" i="3"/>
  <c r="E18" i="3"/>
  <c r="D17" i="3"/>
  <c r="E17" i="3"/>
  <c r="C17" i="3"/>
  <c r="D13" i="3"/>
  <c r="E13" i="3"/>
  <c r="C13" i="3"/>
  <c r="D14" i="3"/>
  <c r="E14" i="3"/>
  <c r="C14" i="3"/>
  <c r="D12" i="3"/>
  <c r="E12" i="3"/>
  <c r="C12" i="3"/>
  <c r="D11" i="3"/>
  <c r="E11" i="3"/>
  <c r="C11" i="3"/>
  <c r="D10" i="3"/>
  <c r="E10" i="3"/>
  <c r="C10" i="3"/>
  <c r="D9" i="3"/>
  <c r="E9" i="3"/>
  <c r="C9" i="3"/>
  <c r="D7" i="3"/>
  <c r="E7" i="3"/>
  <c r="C7" i="3"/>
  <c r="D6" i="3"/>
  <c r="E6" i="3"/>
  <c r="C6" i="3"/>
  <c r="D5" i="3"/>
  <c r="E5" i="3"/>
  <c r="C5" i="3"/>
  <c r="D108" i="1"/>
  <c r="C108" i="1"/>
  <c r="B108" i="1"/>
  <c r="D99" i="1"/>
  <c r="C99" i="1"/>
  <c r="B99" i="1"/>
  <c r="C130" i="3" l="1"/>
  <c r="D130" i="3"/>
  <c r="G130" i="3" s="1"/>
  <c r="F69" i="3"/>
  <c r="J77" i="3"/>
  <c r="J78" i="3"/>
  <c r="G69" i="3"/>
  <c r="K77" i="3"/>
  <c r="E74" i="3"/>
  <c r="C79" i="3"/>
  <c r="F117" i="3"/>
  <c r="J73" i="3"/>
  <c r="K73" i="3"/>
  <c r="D74" i="3"/>
  <c r="F74" i="3"/>
  <c r="F103" i="3"/>
  <c r="G117" i="3"/>
  <c r="F129" i="3"/>
  <c r="G129" i="3"/>
  <c r="C44" i="3"/>
  <c r="E44" i="3"/>
  <c r="D68" i="1"/>
  <c r="C68" i="1"/>
  <c r="B68" i="1"/>
  <c r="D61" i="1"/>
  <c r="C61" i="1"/>
  <c r="B61" i="1"/>
  <c r="D56" i="1"/>
  <c r="C56" i="1"/>
  <c r="C62" i="1" s="1"/>
  <c r="B56" i="1"/>
  <c r="D47" i="1"/>
  <c r="C47" i="1"/>
  <c r="B47" i="1"/>
  <c r="D42" i="1"/>
  <c r="C42" i="1"/>
  <c r="B42" i="1"/>
  <c r="B48" i="1" s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B8" i="1"/>
  <c r="E3" i="3"/>
  <c r="D3" i="3"/>
  <c r="C3" i="3"/>
  <c r="D33" i="1"/>
  <c r="D73" i="1" s="1"/>
  <c r="C33" i="1"/>
  <c r="C73" i="1" s="1"/>
  <c r="B33" i="1"/>
  <c r="B73" i="1" s="1"/>
  <c r="E79" i="3" l="1"/>
  <c r="K74" i="3"/>
  <c r="G74" i="3"/>
  <c r="D79" i="3"/>
  <c r="J74" i="3"/>
  <c r="I79" i="3"/>
  <c r="C81" i="3"/>
  <c r="C83" i="3" s="1"/>
  <c r="I83" i="3" s="1"/>
  <c r="F130" i="3"/>
  <c r="B13" i="1"/>
  <c r="C13" i="1"/>
  <c r="C18" i="1" s="1"/>
  <c r="C20" i="1" s="1"/>
  <c r="C22" i="1" s="1"/>
  <c r="C76" i="1" s="1"/>
  <c r="C91" i="1" s="1"/>
  <c r="C109" i="1" s="1"/>
  <c r="B62" i="1"/>
  <c r="B69" i="1" s="1"/>
  <c r="B18" i="1"/>
  <c r="B20" i="1" s="1"/>
  <c r="B22" i="1" s="1"/>
  <c r="B76" i="1" s="1"/>
  <c r="B91" i="1" s="1"/>
  <c r="B109" i="1" s="1"/>
  <c r="C48" i="1"/>
  <c r="D62" i="1"/>
  <c r="D69" i="1" s="1"/>
  <c r="C69" i="1"/>
  <c r="D48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D81" i="3" l="1"/>
  <c r="D83" i="3" s="1"/>
  <c r="J83" i="3" s="1"/>
  <c r="J79" i="3"/>
  <c r="K79" i="3"/>
  <c r="E81" i="3"/>
  <c r="E83" i="3" s="1"/>
  <c r="K83" i="3" s="1"/>
  <c r="A24" i="3"/>
  <c r="A25" i="3" s="1"/>
  <c r="A26" i="3" s="1"/>
  <c r="A27" i="3" s="1"/>
  <c r="A28" i="3" s="1"/>
  <c r="A29" i="3" s="1"/>
  <c r="A30" i="3" s="1"/>
  <c r="A33" i="3"/>
  <c r="A39" i="3" l="1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</calcChain>
</file>

<file path=xl/sharedStrings.xml><?xml version="1.0" encoding="utf-8"?>
<sst xmlns="http://schemas.openxmlformats.org/spreadsheetml/2006/main" count="349" uniqueCount="179">
  <si>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</si>
  <si>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</si>
  <si>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</si>
  <si>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</si>
  <si>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</si>
  <si>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</si>
  <si>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</si>
  <si>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</si>
  <si>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</si>
  <si>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</si>
  <si>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</si>
  <si>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</si>
  <si>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</si>
  <si>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</si>
  <si>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</si>
  <si>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</si>
  <si>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</si>
  <si>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</si>
  <si>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</si>
  <si>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</si>
  <si>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</si>
  <si>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</si>
  <si>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</si>
  <si>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</si>
  <si>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</si>
  <si>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</si>
  <si>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</si>
  <si>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</si>
  <si>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</si>
  <si>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</si>
  <si>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</si>
  <si>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</si>
  <si>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</si>
  <si>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</si>
  <si>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</si>
  <si>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</si>
  <si>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</si>
  <si>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</si>
  <si>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</si>
  <si>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</si>
  <si>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</si>
  <si>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</si>
  <si>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</si>
  <si>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</si>
  <si>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</si>
  <si>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</si>
  <si>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</si>
  <si>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</si>
  <si>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</si>
  <si>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</si>
  <si>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</si>
  <si>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</si>
  <si>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</si>
  <si>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</si>
  <si>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</si>
  <si>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</si>
  <si>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</si>
  <si>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</si>
  <si>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</si>
  <si>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</si>
  <si>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</si>
  <si>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</si>
  <si>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</si>
  <si>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</si>
  <si>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</si>
  <si>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</si>
  <si>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</si>
  <si>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</si>
  <si>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</si>
  <si>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</si>
  <si>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</si>
  <si>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</si>
  <si>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</si>
  <si>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</si>
  <si>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</si>
  <si>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</si>
  <si>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</si>
  <si>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</si>
  <si>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</si>
  <si>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</si>
  <si>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</si>
  <si>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</si>
  <si>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</si>
  <si>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</si>
  <si>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</si>
  <si>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</si>
  <si>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</si>
  <si>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</si>
  <si>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</si>
  <si>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</si>
  <si>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</si>
  <si>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</si>
  <si>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</si>
  <si>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</si>
  <si>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</si>
  <si>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</si>
  <si>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</si>
  <si>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</si>
  <si>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</si>
  <si>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</si>
  <si>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</si>
  <si>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</si>
  <si>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</si>
  <si>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</si>
  <si>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</si>
  <si>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</si>
  <si>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</si>
  <si>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</si>
  <si>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</si>
  <si>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</si>
  <si>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</si>
  <si>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</si>
  <si>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</si>
  <si>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</si>
  <si>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</si>
  <si>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</si>
  <si>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</si>
  <si>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</si>
  <si>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</si>
  <si>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</si>
  <si>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</si>
  <si>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</si>
  <si>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</si>
  <si>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</si>
  <si>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</si>
  <si>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</si>
  <si>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</si>
  <si>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</si>
  <si>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</si>
  <si>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</si>
  <si>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</si>
  <si>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</si>
  <si>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</si>
  <si>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</si>
  <si>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</si>
  <si>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</si>
  <si>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</si>
  <si>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</si>
  <si>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</si>
  <si>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</si>
  <si>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</si>
  <si>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</si>
  <si>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</si>
  <si>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</si>
  <si>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</si>
  <si>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</si>
  <si>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</si>
  <si>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</si>
  <si>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</si>
  <si>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</si>
  <si>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Note: average inventory = ending inventory</t>
  </si>
  <si>
    <t>Note: average payable = ending payable</t>
  </si>
  <si>
    <t>Note: average recievable = ending receivable</t>
  </si>
  <si>
    <t>Note :  EBITDA/Interest expense</t>
  </si>
  <si>
    <t>Note :  EBITDA/(Interest expense+ Total Debt)</t>
  </si>
  <si>
    <t>Note: average total assets = ending total assets</t>
  </si>
  <si>
    <t>Note: average fixed assets = ending fixed assets</t>
  </si>
  <si>
    <t>Note: diluted</t>
  </si>
  <si>
    <t>Note: diluted eps used</t>
  </si>
  <si>
    <t>Note : used only shares outstanding</t>
  </si>
  <si>
    <t>in milions</t>
  </si>
  <si>
    <t>Note: average total equity = ending total equity</t>
  </si>
  <si>
    <t>Note : outstanding share value used (4754986000)</t>
  </si>
  <si>
    <t>Growth Rates</t>
  </si>
  <si>
    <t>-</t>
  </si>
  <si>
    <t>Margins as % of sales</t>
  </si>
  <si>
    <t>Additional ratios:</t>
  </si>
  <si>
    <t>Note: tax rate = tax cash paid / (income before tax + interest)</t>
  </si>
  <si>
    <t>in days</t>
  </si>
  <si>
    <t>N/A</t>
  </si>
  <si>
    <t>Current market price(yesterdays closing)</t>
  </si>
  <si>
    <t>Note: average inventory = (opening + ending inventory) /2</t>
  </si>
  <si>
    <t>Note: average payable = (opening + ending payable) /2</t>
  </si>
  <si>
    <t>Note: average recievables = (opening + ending recievablesy) /2</t>
  </si>
  <si>
    <t>Note: average total assets = (opening + ending total assets) /2</t>
  </si>
  <si>
    <t>Note: average fixed assets = (opening + ending fixed assets) /2</t>
  </si>
  <si>
    <t>Note: average equity = (opening + ending equity) /2</t>
  </si>
  <si>
    <t xml:space="preserve">Ratios using Average of opening and ending values </t>
  </si>
  <si>
    <t>** Growth Rates and Margins done as an extenstion to the financial statemnets in the financial statement sheet and also below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</si>
</sst>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4" fontId="0" fillId="0" borderId="0" xfId="1" applyNumberFormat="1" applyFont="1"/>
    <xf numFmtId="164" fontId="2" fillId="0" borderId="1" xfId="1" applyNumberFormat="1" applyFont="1" applyBorder="1"/>
    <xf numFmtId="164" fontId="2" fillId="0" borderId="2" xfId="1" applyNumberFormat="1" applyFont="1" applyBorder="1"/>
    <xf numFmtId="164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5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164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10" fontId="0" fillId="0" borderId="0" xfId="3" applyNumberFormat="1" applyFont="1"/>
    <xf numFmtId="2" fontId="0" fillId="0" borderId="0" xfId="0" applyNumberFormat="1"/>
    <xf numFmtId="0" fontId="0" fillId="0" borderId="0" xfId="0" applyAlignment="1">
      <alignment horizontal="center"/>
    </xf>
    <xf numFmtId="10" fontId="2" fillId="0" borderId="0" xfId="3" applyNumberFormat="1" applyFont="1"/>
    <xf numFmtId="10" fontId="2" fillId="0" borderId="1" xfId="3" applyNumberFormat="1" applyFont="1" applyBorder="1"/>
    <xf numFmtId="10" fontId="2" fillId="0" borderId="2" xfId="3" applyNumberFormat="1" applyFont="1" applyBorder="1"/>
    <xf numFmtId="0" fontId="0" fillId="0" borderId="0" xfId="0" applyFont="1" applyAlignment="1">
      <alignment horizontal="right"/>
    </xf>
    <xf numFmtId="0" fontId="2" fillId="0" borderId="4" xfId="0" applyFont="1" applyBorder="1"/>
    <xf numFmtId="0" fontId="0" fillId="0" borderId="4" xfId="0" applyBorder="1"/>
    <xf numFmtId="10" fontId="0" fillId="0" borderId="4" xfId="3" applyNumberFormat="1" applyFont="1" applyBorder="1"/>
    <xf numFmtId="10" fontId="2" fillId="0" borderId="5" xfId="3" applyNumberFormat="1" applyFont="1" applyBorder="1"/>
    <xf numFmtId="10" fontId="2" fillId="0" borderId="4" xfId="3" applyNumberFormat="1" applyFont="1" applyBorder="1"/>
    <xf numFmtId="10" fontId="2" fillId="0" borderId="6" xfId="3" applyNumberFormat="1" applyFont="1" applyBorder="1"/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Per 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workbookViewId="0">
      <selection activeCell="A22" sqref="A22:A24"/>
    </sheetView>
  </sheetViews>
  <sheetFormatPr baseColWidth="10" defaultColWidth="8.83203125" defaultRowHeight="15" x14ac:dyDescent="0.2"/>
  <cols>
    <col min="1" max="1" width="104.5" customWidth="1"/>
  </cols>
  <sheetData>
    <row r="1" spans="1:1" ht="24" x14ac:dyDescent="0.3">
      <c r="A1" s="5" t="s">
        <v>87</v>
      </c>
    </row>
    <row r="3" spans="1:1" x14ac:dyDescent="0.2">
      <c r="A3" s="7" t="s">
        <v>141</v>
      </c>
    </row>
    <row r="4" spans="1:1" x14ac:dyDescent="0.2">
      <c r="A4" s="16" t="s">
        <v>88</v>
      </c>
    </row>
    <row r="5" spans="1:1" x14ac:dyDescent="0.2">
      <c r="A5" s="7" t="s">
        <v>97</v>
      </c>
    </row>
    <row r="6" spans="1:1" x14ac:dyDescent="0.2">
      <c r="A6" s="1" t="s">
        <v>148</v>
      </c>
    </row>
    <row r="7" spans="1:1" x14ac:dyDescent="0.2">
      <c r="A7" s="1"/>
    </row>
    <row r="8" spans="1:1" x14ac:dyDescent="0.2">
      <c r="A8" s="17" t="s">
        <v>149</v>
      </c>
    </row>
    <row r="9" spans="1:1" x14ac:dyDescent="0.2">
      <c r="A9" s="1" t="s">
        <v>145</v>
      </c>
    </row>
    <row r="10" spans="1:1" x14ac:dyDescent="0.2">
      <c r="A10" s="1" t="s">
        <v>89</v>
      </c>
    </row>
    <row r="11" spans="1:1" x14ac:dyDescent="0.2">
      <c r="A11" s="1" t="s">
        <v>90</v>
      </c>
    </row>
    <row r="12" spans="1:1" x14ac:dyDescent="0.2">
      <c r="A12" s="1" t="s">
        <v>91</v>
      </c>
    </row>
    <row r="13" spans="1:1" x14ac:dyDescent="0.2">
      <c r="A13" s="1"/>
    </row>
    <row r="14" spans="1:1" x14ac:dyDescent="0.2">
      <c r="A14" s="17" t="s">
        <v>92</v>
      </c>
    </row>
    <row r="15" spans="1:1" x14ac:dyDescent="0.2">
      <c r="A15" s="1" t="s">
        <v>146</v>
      </c>
    </row>
    <row r="16" spans="1:1" x14ac:dyDescent="0.2">
      <c r="A16" s="1" t="s">
        <v>89</v>
      </c>
    </row>
    <row r="17" spans="1:1" x14ac:dyDescent="0.2">
      <c r="A17" s="1" t="s">
        <v>90</v>
      </c>
    </row>
    <row r="18" spans="1:1" x14ac:dyDescent="0.2">
      <c r="A18" s="1" t="s">
        <v>14</v>
      </c>
    </row>
    <row r="19" spans="1:1" x14ac:dyDescent="0.2">
      <c r="A19" s="1" t="s">
        <v>93</v>
      </c>
    </row>
    <row r="20" spans="1:1" x14ac:dyDescent="0.2">
      <c r="A20" s="1"/>
    </row>
    <row r="21" spans="1:1" x14ac:dyDescent="0.2">
      <c r="A21" s="17" t="s">
        <v>98</v>
      </c>
    </row>
    <row r="22" spans="1:1" x14ac:dyDescent="0.2">
      <c r="A22" s="1" t="s">
        <v>94</v>
      </c>
    </row>
    <row r="23" spans="1:1" x14ac:dyDescent="0.2">
      <c r="A23" s="1" t="s">
        <v>95</v>
      </c>
    </row>
    <row r="24" spans="1:1" x14ac:dyDescent="0.2">
      <c r="A24" s="1" t="s">
        <v>96</v>
      </c>
    </row>
    <row r="25" spans="1:1" x14ac:dyDescent="0.2">
      <c r="A25" s="1"/>
    </row>
    <row r="26" spans="1:1" x14ac:dyDescent="0.2">
      <c r="A26" s="17" t="s">
        <v>144</v>
      </c>
    </row>
    <row r="27" spans="1:1" x14ac:dyDescent="0.2">
      <c r="A27" s="16" t="s">
        <v>143</v>
      </c>
    </row>
    <row r="29" spans="1:1" x14ac:dyDescent="0.2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54" zoomScale="132" workbookViewId="0">
      <selection activeCell="J69" sqref="A3:J69"/>
    </sheetView>
  </sheetViews>
  <sheetFormatPr baseColWidth="10" defaultColWidth="8.83203125" defaultRowHeight="15" x14ac:dyDescent="0.2"/>
  <cols>
    <col min="1" max="1" width="59" customWidth="1"/>
    <col min="2" max="3" width="11.5" bestFit="1" customWidth="1"/>
    <col min="4" max="4" width="11.6640625" bestFit="1" customWidth="1"/>
    <col min="5" max="5" width="9.5" bestFit="1" customWidth="1"/>
    <col min="6" max="6" width="9" bestFit="1" customWidth="1"/>
  </cols>
  <sheetData>
    <row r="1" spans="1:10" ht="60" customHeight="1" x14ac:dyDescent="0.2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2">
      <c r="A2" s="25" t="s">
        <v>1</v>
      </c>
      <c r="B2" s="25"/>
      <c r="C2" s="25"/>
      <c r="D2" s="25"/>
    </row>
    <row r="3" spans="1:10" x14ac:dyDescent="0.2">
      <c r="B3" s="24" t="s">
        <v>23</v>
      </c>
      <c r="C3" s="24"/>
      <c r="D3" s="24"/>
      <c r="E3" s="24" t="s">
        <v>163</v>
      </c>
      <c r="F3" s="24"/>
      <c r="G3" s="24"/>
      <c r="H3" s="24" t="s">
        <v>165</v>
      </c>
      <c r="I3" s="24"/>
      <c r="J3" s="24"/>
    </row>
    <row r="4" spans="1:10" x14ac:dyDescent="0.2">
      <c r="B4" s="7">
        <v>2022</v>
      </c>
      <c r="C4" s="7">
        <v>2021</v>
      </c>
      <c r="D4" s="7">
        <v>2020</v>
      </c>
      <c r="E4" s="7">
        <v>2022</v>
      </c>
      <c r="F4" s="7">
        <v>2021</v>
      </c>
      <c r="G4" s="7">
        <v>2020</v>
      </c>
      <c r="H4" s="7">
        <v>2022</v>
      </c>
      <c r="I4" s="7">
        <v>2021</v>
      </c>
      <c r="J4" s="7">
        <v>2020</v>
      </c>
    </row>
    <row r="5" spans="1:10" x14ac:dyDescent="0.2">
      <c r="A5" t="s">
        <v>3</v>
      </c>
    </row>
    <row r="6" spans="1:10" x14ac:dyDescent="0.2">
      <c r="A6" s="1" t="s">
        <v>4</v>
      </c>
      <c r="B6" s="12">
        <v>316199</v>
      </c>
      <c r="C6" s="12">
        <v>297392</v>
      </c>
      <c r="D6" s="12">
        <v>220747</v>
      </c>
      <c r="E6" s="26">
        <f>(B6-C6)/C6</f>
        <v>6.3239764351428418E-2</v>
      </c>
      <c r="F6" s="26">
        <f>(C6-D6)/D6</f>
        <v>0.34720743656765435</v>
      </c>
      <c r="G6" s="28" t="s">
        <v>164</v>
      </c>
    </row>
    <row r="7" spans="1:10" x14ac:dyDescent="0.2">
      <c r="A7" s="1" t="s">
        <v>5</v>
      </c>
      <c r="B7" s="12">
        <v>78129</v>
      </c>
      <c r="C7" s="12">
        <v>68425</v>
      </c>
      <c r="D7" s="12">
        <v>53768</v>
      </c>
      <c r="E7" s="26">
        <f t="shared" ref="E7:E8" si="0">(B7-C7)/C7</f>
        <v>0.14181951041286078</v>
      </c>
      <c r="F7" s="26">
        <f t="shared" ref="F7:F8" si="1">(C7-D7)/D7</f>
        <v>0.27259708376729652</v>
      </c>
      <c r="G7" s="28" t="s">
        <v>164</v>
      </c>
    </row>
    <row r="8" spans="1:10" x14ac:dyDescent="0.2">
      <c r="A8" s="8" t="s">
        <v>6</v>
      </c>
      <c r="B8" s="13">
        <f>+B6+B7</f>
        <v>394328</v>
      </c>
      <c r="C8" s="13">
        <f t="shared" ref="C8:E8" si="2">+C6+C7</f>
        <v>365817</v>
      </c>
      <c r="D8" s="13">
        <f t="shared" si="2"/>
        <v>274515</v>
      </c>
      <c r="E8" s="30">
        <f>(B8-C8)/C8</f>
        <v>7.7937876041846058E-2</v>
      </c>
      <c r="F8" s="30">
        <f>(C8-D8)/D8</f>
        <v>0.33259384733074693</v>
      </c>
      <c r="G8" s="28" t="s">
        <v>164</v>
      </c>
    </row>
    <row r="9" spans="1:10" x14ac:dyDescent="0.2">
      <c r="A9" t="s">
        <v>7</v>
      </c>
      <c r="B9" s="12"/>
      <c r="C9" s="12"/>
      <c r="D9" s="12"/>
      <c r="E9" s="26"/>
      <c r="F9" s="26"/>
      <c r="G9" s="28"/>
    </row>
    <row r="10" spans="1:10" x14ac:dyDescent="0.2">
      <c r="A10" s="1" t="s">
        <v>4</v>
      </c>
      <c r="B10" s="12">
        <v>201471</v>
      </c>
      <c r="C10" s="12">
        <v>192266</v>
      </c>
      <c r="D10" s="12">
        <v>151286</v>
      </c>
      <c r="E10" s="26"/>
      <c r="F10" s="26"/>
      <c r="G10" s="28"/>
    </row>
    <row r="11" spans="1:10" x14ac:dyDescent="0.2">
      <c r="A11" s="1" t="s">
        <v>5</v>
      </c>
      <c r="B11" s="12">
        <v>22075</v>
      </c>
      <c r="C11" s="12">
        <v>20715</v>
      </c>
      <c r="D11" s="12">
        <v>18273</v>
      </c>
      <c r="E11" s="26"/>
      <c r="F11" s="26"/>
      <c r="G11" s="28"/>
    </row>
    <row r="12" spans="1:10" x14ac:dyDescent="0.2">
      <c r="A12" s="8" t="s">
        <v>8</v>
      </c>
      <c r="B12" s="13">
        <f>+B10+B11</f>
        <v>223546</v>
      </c>
      <c r="C12" s="13">
        <f t="shared" ref="C12:D12" si="3">+C10+C11</f>
        <v>212981</v>
      </c>
      <c r="D12" s="13">
        <f t="shared" si="3"/>
        <v>169559</v>
      </c>
      <c r="E12" s="26"/>
      <c r="F12" s="26"/>
      <c r="G12" s="28"/>
      <c r="H12" s="29">
        <f>B12/B8</f>
        <v>0.56690369438639909</v>
      </c>
      <c r="I12" s="29">
        <f t="shared" ref="I12:J12" si="4">C12/C8</f>
        <v>0.58220640374832222</v>
      </c>
      <c r="J12" s="29">
        <f t="shared" si="4"/>
        <v>0.61766752272189129</v>
      </c>
    </row>
    <row r="13" spans="1:10" x14ac:dyDescent="0.2">
      <c r="A13" s="8" t="s">
        <v>9</v>
      </c>
      <c r="B13" s="13">
        <f>+B8-B12</f>
        <v>170782</v>
      </c>
      <c r="C13" s="13">
        <f t="shared" ref="C13:D13" si="5">+C8-C12</f>
        <v>152836</v>
      </c>
      <c r="D13" s="13">
        <f t="shared" si="5"/>
        <v>104956</v>
      </c>
      <c r="E13" s="30">
        <f t="shared" ref="E13:F13" si="6">(B13-C13)/C13</f>
        <v>0.11741997958596143</v>
      </c>
      <c r="F13" s="30">
        <f t="shared" si="6"/>
        <v>0.45619116582186819</v>
      </c>
      <c r="G13" s="28" t="s">
        <v>164</v>
      </c>
      <c r="H13" s="29">
        <f>B13/B8</f>
        <v>0.43309630561360085</v>
      </c>
      <c r="I13" s="29">
        <f t="shared" ref="I13:J13" si="7">C13/C8</f>
        <v>0.41779359625167778</v>
      </c>
      <c r="J13" s="29">
        <f t="shared" si="7"/>
        <v>0.38233247727810865</v>
      </c>
    </row>
    <row r="14" spans="1:10" x14ac:dyDescent="0.2">
      <c r="A14" t="s">
        <v>10</v>
      </c>
      <c r="B14" s="12"/>
      <c r="C14" s="12"/>
      <c r="D14" s="12"/>
      <c r="E14" s="26"/>
      <c r="F14" s="26"/>
      <c r="G14" s="28"/>
      <c r="H14" s="26"/>
      <c r="I14" s="26"/>
      <c r="J14" s="26"/>
    </row>
    <row r="15" spans="1:10" x14ac:dyDescent="0.2">
      <c r="A15" s="1" t="s">
        <v>11</v>
      </c>
      <c r="B15" s="12">
        <v>26251</v>
      </c>
      <c r="C15" s="12">
        <v>21914</v>
      </c>
      <c r="D15" s="12">
        <v>18752</v>
      </c>
      <c r="E15" s="26">
        <f t="shared" ref="E15:E17" si="8">(B15-C15)/C15</f>
        <v>0.19791001186456147</v>
      </c>
      <c r="F15" s="26">
        <f t="shared" ref="F15:F17" si="9">(C15-D15)/D15</f>
        <v>0.16862201365187712</v>
      </c>
      <c r="G15" s="28" t="s">
        <v>164</v>
      </c>
      <c r="H15" s="26">
        <f>B15/B8</f>
        <v>6.657148363798665E-2</v>
      </c>
      <c r="I15" s="26">
        <f t="shared" ref="I15:J15" si="10">C15/C8</f>
        <v>5.9904269074427925E-2</v>
      </c>
      <c r="J15" s="26">
        <f t="shared" si="10"/>
        <v>6.8309564140393061E-2</v>
      </c>
    </row>
    <row r="16" spans="1:10" x14ac:dyDescent="0.2">
      <c r="A16" s="1" t="s">
        <v>12</v>
      </c>
      <c r="B16" s="12">
        <v>25094</v>
      </c>
      <c r="C16" s="12">
        <v>21973</v>
      </c>
      <c r="D16" s="12">
        <v>19916</v>
      </c>
      <c r="E16" s="26">
        <f t="shared" si="8"/>
        <v>0.14203795567287125</v>
      </c>
      <c r="F16" s="26">
        <f t="shared" si="9"/>
        <v>0.10328379192608958</v>
      </c>
      <c r="G16" s="28" t="s">
        <v>164</v>
      </c>
      <c r="H16" s="26">
        <f>B16/B8</f>
        <v>6.3637378020328261E-2</v>
      </c>
      <c r="I16" s="26">
        <f>C16/C8</f>
        <v>6.006555190163388E-2</v>
      </c>
      <c r="J16" s="26">
        <f t="shared" ref="I16:J16" si="11">D16/D8</f>
        <v>7.2549769593646979E-2</v>
      </c>
    </row>
    <row r="17" spans="1:10" x14ac:dyDescent="0.2">
      <c r="A17" s="8" t="s">
        <v>13</v>
      </c>
      <c r="B17" s="13">
        <f>+B15+B16</f>
        <v>51345</v>
      </c>
      <c r="C17" s="13">
        <f t="shared" ref="C17" si="12">+C15+C16</f>
        <v>43887</v>
      </c>
      <c r="D17" s="13">
        <f t="shared" ref="D17" si="13">+D15+D16</f>
        <v>38668</v>
      </c>
      <c r="E17" s="30">
        <f t="shared" si="8"/>
        <v>0.16993642764372138</v>
      </c>
      <c r="F17" s="30">
        <f t="shared" si="9"/>
        <v>0.13496948381090307</v>
      </c>
      <c r="G17" s="28" t="s">
        <v>164</v>
      </c>
      <c r="H17" s="26">
        <f>B17/B8</f>
        <v>0.13020886165831491</v>
      </c>
      <c r="I17" s="26">
        <f t="shared" ref="I17:J17" si="14">C17/C8</f>
        <v>0.11996982097606181</v>
      </c>
      <c r="J17" s="26">
        <f t="shared" si="14"/>
        <v>0.14085933373404003</v>
      </c>
    </row>
    <row r="18" spans="1:10" s="7" customFormat="1" x14ac:dyDescent="0.2">
      <c r="A18" s="8" t="s">
        <v>14</v>
      </c>
      <c r="B18" s="13">
        <f>+B13-B17</f>
        <v>119437</v>
      </c>
      <c r="C18" s="13">
        <f t="shared" ref="C18:D18" si="15">+C13-C17</f>
        <v>108949</v>
      </c>
      <c r="D18" s="13">
        <f t="shared" si="15"/>
        <v>66288</v>
      </c>
      <c r="E18" s="29"/>
      <c r="F18" s="29"/>
      <c r="G18" s="21"/>
      <c r="H18" s="29">
        <f>B18/B8</f>
        <v>0.30288744395528594</v>
      </c>
      <c r="I18" s="29">
        <f t="shared" ref="I18:J18" si="16">C18/C8</f>
        <v>0.29782377527561593</v>
      </c>
      <c r="J18" s="29">
        <f t="shared" si="16"/>
        <v>0.24147314354406862</v>
      </c>
    </row>
    <row r="19" spans="1:10" x14ac:dyDescent="0.2">
      <c r="A19" t="s">
        <v>15</v>
      </c>
      <c r="B19" s="12">
        <v>-334</v>
      </c>
      <c r="C19" s="12">
        <v>258</v>
      </c>
      <c r="D19" s="12">
        <v>803</v>
      </c>
      <c r="E19" s="26"/>
      <c r="F19" s="26"/>
      <c r="G19" s="28"/>
    </row>
    <row r="20" spans="1:10" x14ac:dyDescent="0.2">
      <c r="A20" s="8" t="s">
        <v>16</v>
      </c>
      <c r="B20" s="13">
        <f>+B18+B19</f>
        <v>119103</v>
      </c>
      <c r="C20" s="13">
        <f t="shared" ref="C20:D20" si="17">+C18+C19</f>
        <v>109207</v>
      </c>
      <c r="D20" s="13">
        <f t="shared" si="17"/>
        <v>67091</v>
      </c>
      <c r="E20" s="26"/>
      <c r="F20" s="26"/>
      <c r="G20" s="28"/>
    </row>
    <row r="21" spans="1:10" x14ac:dyDescent="0.2">
      <c r="A21" t="s">
        <v>17</v>
      </c>
      <c r="B21" s="12">
        <v>19300</v>
      </c>
      <c r="C21" s="12">
        <v>14527</v>
      </c>
      <c r="D21" s="12">
        <v>9680</v>
      </c>
      <c r="E21" s="26"/>
      <c r="F21" s="26"/>
      <c r="G21" s="28"/>
    </row>
    <row r="22" spans="1:10" ht="16" thickBot="1" x14ac:dyDescent="0.25">
      <c r="A22" s="9" t="s">
        <v>18</v>
      </c>
      <c r="B22" s="14">
        <f>+B20-B21</f>
        <v>99803</v>
      </c>
      <c r="C22" s="14">
        <f t="shared" ref="C22:D22" si="18">+C20-C21</f>
        <v>94680</v>
      </c>
      <c r="D22" s="14">
        <f t="shared" si="18"/>
        <v>57411</v>
      </c>
      <c r="E22" s="26"/>
      <c r="F22" s="26"/>
      <c r="G22" s="28"/>
      <c r="H22" s="29">
        <f>B22/B8</f>
        <v>0.25309640705199732</v>
      </c>
      <c r="I22" s="29">
        <f t="shared" ref="I22:J22" si="19">C22/C8</f>
        <v>0.25881793355694238</v>
      </c>
      <c r="J22" s="29">
        <f t="shared" si="19"/>
        <v>0.20913611278072236</v>
      </c>
    </row>
    <row r="23" spans="1:10" ht="16" thickTop="1" x14ac:dyDescent="0.2">
      <c r="A23" t="s">
        <v>19</v>
      </c>
      <c r="E23" s="26"/>
      <c r="F23" s="26"/>
      <c r="G23" s="28"/>
    </row>
    <row r="24" spans="1:10" x14ac:dyDescent="0.2">
      <c r="A24" s="1" t="s">
        <v>20</v>
      </c>
      <c r="B24" s="10">
        <v>6.15</v>
      </c>
      <c r="C24" s="10">
        <v>5.67</v>
      </c>
      <c r="D24" s="10">
        <v>3.31</v>
      </c>
      <c r="E24" s="26"/>
      <c r="F24" s="26"/>
      <c r="G24" s="28"/>
    </row>
    <row r="25" spans="1:10" x14ac:dyDescent="0.2">
      <c r="A25" s="1" t="s">
        <v>21</v>
      </c>
      <c r="B25" s="10">
        <v>6.11</v>
      </c>
      <c r="C25" s="10">
        <v>5.61</v>
      </c>
      <c r="D25" s="10">
        <v>3.28</v>
      </c>
      <c r="E25" s="26"/>
      <c r="F25" s="26"/>
      <c r="G25" s="28"/>
    </row>
    <row r="26" spans="1:10" x14ac:dyDescent="0.2">
      <c r="A26" t="s">
        <v>22</v>
      </c>
      <c r="E26" s="26"/>
      <c r="F26" s="26"/>
      <c r="G26" s="28"/>
    </row>
    <row r="27" spans="1:10" x14ac:dyDescent="0.2">
      <c r="A27" s="1" t="s">
        <v>20</v>
      </c>
      <c r="B27" s="2">
        <v>16215963</v>
      </c>
      <c r="C27" s="2">
        <v>16701272</v>
      </c>
      <c r="D27" s="2">
        <v>17352119</v>
      </c>
      <c r="E27" s="26"/>
      <c r="F27" s="26"/>
      <c r="G27" s="28"/>
    </row>
    <row r="28" spans="1:10" x14ac:dyDescent="0.2">
      <c r="A28" s="1" t="s">
        <v>21</v>
      </c>
      <c r="B28" s="2">
        <v>16325819</v>
      </c>
      <c r="C28" s="2">
        <v>16864919</v>
      </c>
      <c r="D28" s="2">
        <v>17528214</v>
      </c>
      <c r="E28" s="26"/>
      <c r="F28" s="26"/>
      <c r="G28" s="28"/>
    </row>
    <row r="29" spans="1:10" x14ac:dyDescent="0.2">
      <c r="E29" s="26"/>
      <c r="F29" s="26"/>
      <c r="G29" s="28"/>
    </row>
    <row r="30" spans="1:10" x14ac:dyDescent="0.2">
      <c r="E30" s="26"/>
      <c r="F30" s="26"/>
      <c r="G30" s="28"/>
    </row>
    <row r="31" spans="1:10" x14ac:dyDescent="0.2">
      <c r="A31" s="25" t="s">
        <v>24</v>
      </c>
      <c r="B31" s="25"/>
      <c r="C31" s="25"/>
      <c r="D31" s="25"/>
      <c r="E31" s="26"/>
      <c r="F31" s="26"/>
      <c r="G31" s="28"/>
    </row>
    <row r="32" spans="1:10" x14ac:dyDescent="0.2">
      <c r="B32" s="24" t="s">
        <v>142</v>
      </c>
      <c r="C32" s="24"/>
      <c r="D32" s="24"/>
      <c r="E32" s="26"/>
      <c r="F32" s="26"/>
      <c r="G32" s="28"/>
    </row>
    <row r="33" spans="1:7" x14ac:dyDescent="0.2">
      <c r="B33" s="7">
        <f>+B4</f>
        <v>2022</v>
      </c>
      <c r="C33" s="7">
        <f t="shared" ref="C33:D33" si="20">+C4</f>
        <v>2021</v>
      </c>
      <c r="D33" s="7">
        <f t="shared" si="20"/>
        <v>2020</v>
      </c>
      <c r="E33" s="26"/>
      <c r="F33" s="26"/>
      <c r="G33" s="28"/>
    </row>
    <row r="34" spans="1:7" x14ac:dyDescent="0.2">
      <c r="E34" s="26"/>
      <c r="F34" s="26"/>
      <c r="G34" s="28"/>
    </row>
    <row r="35" spans="1:7" x14ac:dyDescent="0.2">
      <c r="A35" t="s">
        <v>25</v>
      </c>
      <c r="E35" s="26"/>
      <c r="F35" s="26"/>
      <c r="G35" s="28"/>
    </row>
    <row r="36" spans="1:7" x14ac:dyDescent="0.2">
      <c r="A36" s="1" t="s">
        <v>26</v>
      </c>
      <c r="B36" s="12">
        <v>23646</v>
      </c>
      <c r="C36" s="12">
        <v>34940</v>
      </c>
      <c r="D36" s="12">
        <v>38016</v>
      </c>
      <c r="E36" s="26">
        <f t="shared" ref="E36:F42" si="21">(B36-C36)/C36</f>
        <v>-0.32323983972524328</v>
      </c>
      <c r="F36" s="26">
        <f t="shared" ref="F36:F42" si="22">(C36-D36)/D36</f>
        <v>-8.0913299663299659E-2</v>
      </c>
      <c r="G36" s="28" t="s">
        <v>164</v>
      </c>
    </row>
    <row r="37" spans="1:7" x14ac:dyDescent="0.2">
      <c r="A37" s="1" t="s">
        <v>27</v>
      </c>
      <c r="B37" s="12">
        <v>24658</v>
      </c>
      <c r="C37" s="12">
        <v>27699</v>
      </c>
      <c r="D37" s="12">
        <v>52927</v>
      </c>
      <c r="E37" s="26">
        <f t="shared" si="21"/>
        <v>-0.10978735694429402</v>
      </c>
      <c r="F37" s="26">
        <f t="shared" si="22"/>
        <v>-0.47665652691442933</v>
      </c>
      <c r="G37" s="28" t="s">
        <v>164</v>
      </c>
    </row>
    <row r="38" spans="1:7" x14ac:dyDescent="0.2">
      <c r="A38" s="1" t="s">
        <v>28</v>
      </c>
      <c r="B38" s="12">
        <v>28184</v>
      </c>
      <c r="C38" s="12">
        <v>26278</v>
      </c>
      <c r="D38" s="12">
        <v>16120</v>
      </c>
      <c r="E38" s="26">
        <f t="shared" si="21"/>
        <v>7.2532156176269125E-2</v>
      </c>
      <c r="F38" s="26">
        <f t="shared" si="22"/>
        <v>0.63014888337468977</v>
      </c>
      <c r="G38" s="28" t="s">
        <v>164</v>
      </c>
    </row>
    <row r="39" spans="1:7" x14ac:dyDescent="0.2">
      <c r="A39" s="1" t="s">
        <v>29</v>
      </c>
      <c r="B39" s="12">
        <v>4946</v>
      </c>
      <c r="C39" s="12">
        <v>6580</v>
      </c>
      <c r="D39" s="12">
        <v>4061</v>
      </c>
      <c r="E39" s="26">
        <f t="shared" si="21"/>
        <v>-0.24832826747720366</v>
      </c>
      <c r="F39" s="26">
        <f t="shared" si="22"/>
        <v>0.62029056882541245</v>
      </c>
      <c r="G39" s="28" t="s">
        <v>164</v>
      </c>
    </row>
    <row r="40" spans="1:7" x14ac:dyDescent="0.2">
      <c r="A40" s="1" t="s">
        <v>47</v>
      </c>
      <c r="B40" s="12">
        <v>32748</v>
      </c>
      <c r="C40" s="12">
        <v>25228</v>
      </c>
      <c r="D40" s="12">
        <v>21325</v>
      </c>
      <c r="E40" s="26">
        <f t="shared" si="21"/>
        <v>0.29808149674964324</v>
      </c>
      <c r="F40" s="26">
        <f t="shared" si="22"/>
        <v>0.18302461899179367</v>
      </c>
      <c r="G40" s="28" t="s">
        <v>164</v>
      </c>
    </row>
    <row r="41" spans="1:7" x14ac:dyDescent="0.2">
      <c r="A41" s="1" t="s">
        <v>30</v>
      </c>
      <c r="B41" s="12">
        <v>21223</v>
      </c>
      <c r="C41" s="12">
        <v>14111</v>
      </c>
      <c r="D41" s="12">
        <v>11264</v>
      </c>
      <c r="E41" s="26">
        <f t="shared" si="21"/>
        <v>0.50400396853518536</v>
      </c>
      <c r="F41" s="26">
        <f t="shared" si="22"/>
        <v>0.25275213068181818</v>
      </c>
      <c r="G41" s="28" t="s">
        <v>164</v>
      </c>
    </row>
    <row r="42" spans="1:7" x14ac:dyDescent="0.2">
      <c r="A42" s="8" t="s">
        <v>31</v>
      </c>
      <c r="B42" s="13">
        <f>+SUM(B36:B41)</f>
        <v>135405</v>
      </c>
      <c r="C42" s="13">
        <f t="shared" ref="C42:D42" si="23">+SUM(C36:C41)</f>
        <v>134836</v>
      </c>
      <c r="D42" s="13">
        <f t="shared" si="23"/>
        <v>143713</v>
      </c>
      <c r="E42" s="30">
        <f t="shared" si="21"/>
        <v>4.2199412619775131E-3</v>
      </c>
      <c r="F42" s="30">
        <f t="shared" si="22"/>
        <v>-6.176894226687913E-2</v>
      </c>
      <c r="G42" s="28" t="s">
        <v>164</v>
      </c>
    </row>
    <row r="43" spans="1:7" x14ac:dyDescent="0.2">
      <c r="A43" t="s">
        <v>48</v>
      </c>
      <c r="B43" s="12"/>
      <c r="C43" s="12"/>
      <c r="D43" s="12"/>
      <c r="E43" s="26"/>
      <c r="F43" s="26"/>
      <c r="G43" s="28"/>
    </row>
    <row r="44" spans="1:7" x14ac:dyDescent="0.2">
      <c r="A44" s="1" t="s">
        <v>27</v>
      </c>
      <c r="B44" s="12">
        <v>120805</v>
      </c>
      <c r="C44" s="12">
        <v>127877</v>
      </c>
      <c r="D44" s="12">
        <v>100887</v>
      </c>
      <c r="E44" s="26">
        <f t="shared" ref="E44:F48" si="24">(B44-C44)/C44</f>
        <v>-5.5303142863845724E-2</v>
      </c>
      <c r="F44" s="26">
        <f t="shared" ref="F44:F48" si="25">(C44-D44)/D44</f>
        <v>0.26752703519779553</v>
      </c>
      <c r="G44" s="28" t="s">
        <v>164</v>
      </c>
    </row>
    <row r="45" spans="1:7" x14ac:dyDescent="0.2">
      <c r="A45" s="1" t="s">
        <v>32</v>
      </c>
      <c r="B45" s="12">
        <v>42117</v>
      </c>
      <c r="C45" s="12">
        <v>39440</v>
      </c>
      <c r="D45" s="12">
        <v>36766</v>
      </c>
      <c r="E45" s="26">
        <f t="shared" si="24"/>
        <v>6.7875253549695744E-2</v>
      </c>
      <c r="F45" s="26">
        <f t="shared" si="25"/>
        <v>7.2730239895555673E-2</v>
      </c>
      <c r="G45" s="28" t="s">
        <v>164</v>
      </c>
    </row>
    <row r="46" spans="1:7" x14ac:dyDescent="0.2">
      <c r="A46" s="1" t="s">
        <v>49</v>
      </c>
      <c r="B46" s="12">
        <v>54428</v>
      </c>
      <c r="C46" s="12">
        <v>48849</v>
      </c>
      <c r="D46" s="12">
        <v>42522</v>
      </c>
      <c r="E46" s="26">
        <f t="shared" si="24"/>
        <v>0.11420909332842023</v>
      </c>
      <c r="F46" s="26">
        <f t="shared" si="25"/>
        <v>0.1487935656836461</v>
      </c>
      <c r="G46" s="28" t="s">
        <v>164</v>
      </c>
    </row>
    <row r="47" spans="1:7" x14ac:dyDescent="0.2">
      <c r="A47" s="8" t="s">
        <v>50</v>
      </c>
      <c r="B47" s="13">
        <f>+SUM(B44:B46)</f>
        <v>217350</v>
      </c>
      <c r="C47" s="13">
        <f t="shared" ref="C47:D47" si="26">+SUM(C44:C46)</f>
        <v>216166</v>
      </c>
      <c r="D47" s="13">
        <f t="shared" si="26"/>
        <v>180175</v>
      </c>
      <c r="E47" s="30">
        <f t="shared" si="24"/>
        <v>5.4772720964443994E-3</v>
      </c>
      <c r="F47" s="30">
        <f t="shared" si="25"/>
        <v>0.19975579297904814</v>
      </c>
      <c r="G47" s="28" t="s">
        <v>164</v>
      </c>
    </row>
    <row r="48" spans="1:7" ht="16" thickBot="1" x14ac:dyDescent="0.25">
      <c r="A48" s="9" t="s">
        <v>33</v>
      </c>
      <c r="B48" s="14">
        <f>+B42+B47</f>
        <v>352755</v>
      </c>
      <c r="C48" s="14">
        <f t="shared" ref="C48:D48" si="27">+C42+C47</f>
        <v>351002</v>
      </c>
      <c r="D48" s="14">
        <f t="shared" si="27"/>
        <v>323888</v>
      </c>
      <c r="E48" s="31">
        <f t="shared" si="24"/>
        <v>4.9942735369029236E-3</v>
      </c>
      <c r="F48" s="31">
        <f t="shared" si="25"/>
        <v>8.3714123400681711E-2</v>
      </c>
      <c r="G48" s="28" t="s">
        <v>164</v>
      </c>
    </row>
    <row r="49" spans="1:7" ht="16" thickTop="1" x14ac:dyDescent="0.2">
      <c r="E49" s="26"/>
      <c r="F49" s="26"/>
      <c r="G49" s="28"/>
    </row>
    <row r="50" spans="1:7" x14ac:dyDescent="0.2">
      <c r="A50" t="s">
        <v>34</v>
      </c>
      <c r="E50" s="26"/>
      <c r="F50" s="26"/>
      <c r="G50" s="28"/>
    </row>
    <row r="51" spans="1:7" x14ac:dyDescent="0.2">
      <c r="A51" s="1" t="s">
        <v>35</v>
      </c>
      <c r="B51" s="12">
        <v>64115</v>
      </c>
      <c r="C51" s="12">
        <v>54763</v>
      </c>
      <c r="D51" s="12">
        <v>42296</v>
      </c>
      <c r="E51" s="26">
        <f t="shared" ref="E51:F56" si="28">(B51-C51)/C51</f>
        <v>0.17077223672917846</v>
      </c>
      <c r="F51" s="26">
        <f t="shared" ref="F51:F56" si="29">(C51-D51)/D51</f>
        <v>0.29475600529600909</v>
      </c>
      <c r="G51" s="28" t="s">
        <v>164</v>
      </c>
    </row>
    <row r="52" spans="1:7" x14ac:dyDescent="0.2">
      <c r="A52" s="1" t="s">
        <v>36</v>
      </c>
      <c r="B52" s="12">
        <v>60845</v>
      </c>
      <c r="C52" s="12">
        <v>47493</v>
      </c>
      <c r="D52" s="12">
        <v>42684</v>
      </c>
      <c r="E52" s="26">
        <f t="shared" si="28"/>
        <v>0.28113616743520098</v>
      </c>
      <c r="F52" s="26">
        <f t="shared" si="29"/>
        <v>0.1126651672757942</v>
      </c>
      <c r="G52" s="28" t="s">
        <v>164</v>
      </c>
    </row>
    <row r="53" spans="1:7" x14ac:dyDescent="0.2">
      <c r="A53" s="1" t="s">
        <v>37</v>
      </c>
      <c r="B53" s="12">
        <v>7912</v>
      </c>
      <c r="C53" s="12">
        <v>7612</v>
      </c>
      <c r="D53" s="12">
        <v>6643</v>
      </c>
      <c r="E53" s="26">
        <f t="shared" si="28"/>
        <v>3.9411455596426698E-2</v>
      </c>
      <c r="F53" s="26">
        <f t="shared" si="29"/>
        <v>0.14586783079933766</v>
      </c>
      <c r="G53" s="28" t="s">
        <v>164</v>
      </c>
    </row>
    <row r="54" spans="1:7" x14ac:dyDescent="0.2">
      <c r="A54" s="1" t="s">
        <v>38</v>
      </c>
      <c r="B54" s="12">
        <v>9982</v>
      </c>
      <c r="C54" s="12">
        <v>6000</v>
      </c>
      <c r="D54" s="12">
        <v>4996</v>
      </c>
      <c r="E54" s="26">
        <f t="shared" si="28"/>
        <v>0.66366666666666663</v>
      </c>
      <c r="F54" s="26">
        <f t="shared" si="29"/>
        <v>0.20096076861489193</v>
      </c>
      <c r="G54" s="28" t="s">
        <v>164</v>
      </c>
    </row>
    <row r="55" spans="1:7" x14ac:dyDescent="0.2">
      <c r="A55" s="1" t="s">
        <v>39</v>
      </c>
      <c r="B55" s="12">
        <v>11128</v>
      </c>
      <c r="C55" s="12">
        <v>9613</v>
      </c>
      <c r="D55" s="12">
        <v>8773</v>
      </c>
      <c r="E55" s="26">
        <f t="shared" si="28"/>
        <v>0.15759908457297409</v>
      </c>
      <c r="F55" s="26">
        <f t="shared" si="29"/>
        <v>9.5748318705117977E-2</v>
      </c>
      <c r="G55" s="28" t="s">
        <v>164</v>
      </c>
    </row>
    <row r="56" spans="1:7" x14ac:dyDescent="0.2">
      <c r="A56" s="8" t="s">
        <v>40</v>
      </c>
      <c r="B56" s="13">
        <f>+SUM(B51:B55)</f>
        <v>153982</v>
      </c>
      <c r="C56" s="13">
        <f t="shared" ref="C56:D56" si="30">+SUM(C51:C55)</f>
        <v>125481</v>
      </c>
      <c r="D56" s="13">
        <f t="shared" si="30"/>
        <v>105392</v>
      </c>
      <c r="E56" s="30">
        <f t="shared" si="28"/>
        <v>0.22713398841258836</v>
      </c>
      <c r="F56" s="30">
        <f t="shared" si="29"/>
        <v>0.19061219067860938</v>
      </c>
      <c r="G56" s="28" t="s">
        <v>164</v>
      </c>
    </row>
    <row r="57" spans="1:7" x14ac:dyDescent="0.2">
      <c r="A57" t="s">
        <v>51</v>
      </c>
      <c r="B57" s="12"/>
      <c r="C57" s="12"/>
      <c r="D57" s="12"/>
      <c r="E57" s="26"/>
      <c r="F57" s="26"/>
      <c r="G57" s="28"/>
    </row>
    <row r="58" spans="1:7" x14ac:dyDescent="0.2">
      <c r="A58" s="1" t="s">
        <v>37</v>
      </c>
      <c r="B58" s="12"/>
      <c r="C58" s="12"/>
      <c r="D58" s="12"/>
      <c r="E58" s="26"/>
      <c r="F58" s="26"/>
      <c r="G58" s="28"/>
    </row>
    <row r="59" spans="1:7" x14ac:dyDescent="0.2">
      <c r="A59" s="1" t="s">
        <v>39</v>
      </c>
      <c r="B59" s="12">
        <v>98959</v>
      </c>
      <c r="C59" s="12">
        <v>109106</v>
      </c>
      <c r="D59" s="12">
        <v>98667</v>
      </c>
      <c r="E59" s="26">
        <f t="shared" ref="E59:F62" si="31">(B59-C59)/C59</f>
        <v>-9.3001301486627677E-2</v>
      </c>
      <c r="F59" s="26">
        <f t="shared" ref="F59:F62" si="32">(C59-D59)/D59</f>
        <v>0.1058003182421681</v>
      </c>
      <c r="G59" s="28" t="s">
        <v>164</v>
      </c>
    </row>
    <row r="60" spans="1:7" x14ac:dyDescent="0.2">
      <c r="A60" s="1" t="s">
        <v>52</v>
      </c>
      <c r="B60" s="12">
        <v>49142</v>
      </c>
      <c r="C60" s="12">
        <v>53325</v>
      </c>
      <c r="D60" s="12">
        <v>54490</v>
      </c>
      <c r="E60" s="26">
        <f t="shared" si="31"/>
        <v>-7.8443506797937171E-2</v>
      </c>
      <c r="F60" s="26">
        <f t="shared" si="32"/>
        <v>-2.1380069737566527E-2</v>
      </c>
      <c r="G60" s="28" t="s">
        <v>164</v>
      </c>
    </row>
    <row r="61" spans="1:7" x14ac:dyDescent="0.2">
      <c r="A61" s="23" t="s">
        <v>53</v>
      </c>
      <c r="B61" s="22">
        <f>+B59+B60</f>
        <v>148101</v>
      </c>
      <c r="C61" s="22">
        <f t="shared" ref="C61:D61" si="33">+C59+C60</f>
        <v>162431</v>
      </c>
      <c r="D61" s="22">
        <f t="shared" si="33"/>
        <v>153157</v>
      </c>
      <c r="E61" s="30">
        <f t="shared" si="31"/>
        <v>-8.8222075835277747E-2</v>
      </c>
      <c r="F61" s="30">
        <f t="shared" si="32"/>
        <v>6.0552243775994566E-2</v>
      </c>
      <c r="G61" s="28" t="s">
        <v>164</v>
      </c>
    </row>
    <row r="62" spans="1:7" x14ac:dyDescent="0.2">
      <c r="A62" s="8" t="s">
        <v>41</v>
      </c>
      <c r="B62" s="13">
        <f>+B56+B61</f>
        <v>302083</v>
      </c>
      <c r="C62" s="13">
        <f t="shared" ref="C62:D62" si="34">+C56+C61</f>
        <v>287912</v>
      </c>
      <c r="D62" s="13">
        <f t="shared" si="34"/>
        <v>258549</v>
      </c>
      <c r="E62" s="30">
        <f t="shared" si="31"/>
        <v>4.9219900525160468E-2</v>
      </c>
      <c r="F62" s="30">
        <f t="shared" si="32"/>
        <v>0.11356841449783213</v>
      </c>
      <c r="G62" s="28" t="s">
        <v>164</v>
      </c>
    </row>
    <row r="63" spans="1:7" x14ac:dyDescent="0.2">
      <c r="B63" s="12"/>
      <c r="C63" s="12"/>
      <c r="D63" s="12"/>
      <c r="E63" s="26"/>
      <c r="F63" s="26"/>
      <c r="G63" s="28"/>
    </row>
    <row r="64" spans="1:7" x14ac:dyDescent="0.2">
      <c r="A64" t="s">
        <v>42</v>
      </c>
      <c r="B64" s="12"/>
      <c r="C64" s="12"/>
      <c r="D64" s="12"/>
      <c r="E64" s="26"/>
      <c r="F64" s="26"/>
      <c r="G64" s="28"/>
    </row>
    <row r="65" spans="1:7" x14ac:dyDescent="0.2">
      <c r="A65" s="1" t="s">
        <v>54</v>
      </c>
      <c r="B65" s="12">
        <v>64849</v>
      </c>
      <c r="C65" s="12">
        <v>57365</v>
      </c>
      <c r="D65" s="12">
        <v>50779</v>
      </c>
      <c r="E65" s="26">
        <f t="shared" ref="E65:F69" si="35">(B65-C65)/C65</f>
        <v>0.1304628257648392</v>
      </c>
      <c r="F65" s="26">
        <f t="shared" ref="F65:F69" si="36">(C65-D65)/D65</f>
        <v>0.12969928513755685</v>
      </c>
      <c r="G65" s="28" t="s">
        <v>164</v>
      </c>
    </row>
    <row r="66" spans="1:7" x14ac:dyDescent="0.2">
      <c r="A66" s="1" t="s">
        <v>43</v>
      </c>
      <c r="B66" s="12">
        <v>-3068</v>
      </c>
      <c r="C66" s="12">
        <v>5562</v>
      </c>
      <c r="D66" s="12">
        <v>14966</v>
      </c>
      <c r="E66" s="26">
        <f t="shared" si="35"/>
        <v>-1.5516001438331535</v>
      </c>
      <c r="F66" s="26">
        <f t="shared" si="36"/>
        <v>-0.62835761058399042</v>
      </c>
      <c r="G66" s="28" t="s">
        <v>164</v>
      </c>
    </row>
    <row r="67" spans="1:7" x14ac:dyDescent="0.2">
      <c r="A67" s="1" t="s">
        <v>44</v>
      </c>
      <c r="B67" s="12">
        <v>-11109</v>
      </c>
      <c r="C67" s="12">
        <v>163</v>
      </c>
      <c r="D67" s="12">
        <v>-406</v>
      </c>
      <c r="E67" s="26">
        <f t="shared" si="35"/>
        <v>-69.153374233128829</v>
      </c>
      <c r="F67" s="26">
        <f t="shared" si="36"/>
        <v>-1.4014778325123152</v>
      </c>
      <c r="G67" s="28" t="s">
        <v>164</v>
      </c>
    </row>
    <row r="68" spans="1:7" x14ac:dyDescent="0.2">
      <c r="A68" s="8" t="s">
        <v>45</v>
      </c>
      <c r="B68" s="13">
        <f>+SUM(B65:B67)</f>
        <v>50672</v>
      </c>
      <c r="C68" s="13">
        <f t="shared" ref="C68:D68" si="37">+SUM(C65:C67)</f>
        <v>63090</v>
      </c>
      <c r="D68" s="13">
        <f t="shared" si="37"/>
        <v>65339</v>
      </c>
      <c r="E68" s="30">
        <f t="shared" si="35"/>
        <v>-0.19682992550324932</v>
      </c>
      <c r="F68" s="30">
        <f t="shared" si="36"/>
        <v>-3.4420483937617659E-2</v>
      </c>
      <c r="G68" s="28" t="s">
        <v>164</v>
      </c>
    </row>
    <row r="69" spans="1:7" ht="16" thickBot="1" x14ac:dyDescent="0.25">
      <c r="A69" s="9" t="s">
        <v>46</v>
      </c>
      <c r="B69" s="14">
        <f>+B68+B62</f>
        <v>352755</v>
      </c>
      <c r="C69" s="14">
        <f t="shared" ref="C69:D69" si="38">+C68+C62</f>
        <v>351002</v>
      </c>
      <c r="D69" s="14">
        <f t="shared" si="38"/>
        <v>323888</v>
      </c>
      <c r="E69" s="31">
        <f>(B69-C69)/C69</f>
        <v>4.9942735369029236E-3</v>
      </c>
      <c r="F69" s="31">
        <f t="shared" si="36"/>
        <v>8.3714123400681711E-2</v>
      </c>
      <c r="G69" s="28" t="s">
        <v>164</v>
      </c>
    </row>
    <row r="70" spans="1:7" ht="16" thickTop="1" x14ac:dyDescent="0.2"/>
    <row r="71" spans="1:7" x14ac:dyDescent="0.2">
      <c r="A71" s="25" t="s">
        <v>55</v>
      </c>
      <c r="B71" s="25"/>
      <c r="C71" s="25"/>
      <c r="D71" s="25"/>
    </row>
    <row r="72" spans="1:7" x14ac:dyDescent="0.2">
      <c r="B72" s="24" t="s">
        <v>23</v>
      </c>
      <c r="C72" s="24"/>
      <c r="D72" s="24"/>
    </row>
    <row r="73" spans="1:7" x14ac:dyDescent="0.2">
      <c r="B73" s="7">
        <f>+B33</f>
        <v>2022</v>
      </c>
      <c r="C73" s="7">
        <f t="shared" ref="C73:D73" si="39">+C33</f>
        <v>2021</v>
      </c>
      <c r="D73" s="7">
        <f t="shared" si="39"/>
        <v>2020</v>
      </c>
    </row>
    <row r="75" spans="1:7" x14ac:dyDescent="0.2">
      <c r="A75" s="7" t="s">
        <v>56</v>
      </c>
      <c r="B75" s="15"/>
      <c r="C75" s="15"/>
      <c r="D75" s="15"/>
    </row>
    <row r="76" spans="1:7" x14ac:dyDescent="0.2">
      <c r="A76" t="s">
        <v>57</v>
      </c>
      <c r="B76" s="12">
        <f>+B22</f>
        <v>99803</v>
      </c>
      <c r="C76" s="12">
        <f t="shared" ref="C76:D76" si="40">+C22</f>
        <v>94680</v>
      </c>
      <c r="D76" s="12">
        <f t="shared" si="40"/>
        <v>57411</v>
      </c>
    </row>
    <row r="77" spans="1:7" x14ac:dyDescent="0.2">
      <c r="A77" s="11" t="s">
        <v>18</v>
      </c>
      <c r="B77" s="15"/>
      <c r="C77" s="15"/>
      <c r="D77" s="15"/>
    </row>
    <row r="78" spans="1:7" x14ac:dyDescent="0.2">
      <c r="A78" s="1" t="s">
        <v>58</v>
      </c>
      <c r="B78" s="12"/>
      <c r="C78" s="12"/>
      <c r="D78" s="12"/>
    </row>
    <row r="79" spans="1:7" x14ac:dyDescent="0.2">
      <c r="A79" s="3" t="s">
        <v>59</v>
      </c>
      <c r="B79" s="12">
        <v>11104</v>
      </c>
      <c r="C79" s="12">
        <v>11284</v>
      </c>
      <c r="D79" s="12">
        <v>11056</v>
      </c>
    </row>
    <row r="80" spans="1:7" x14ac:dyDescent="0.2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2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2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2">
      <c r="A83" t="s">
        <v>62</v>
      </c>
      <c r="B83" s="12"/>
      <c r="C83" s="12"/>
      <c r="D83" s="12"/>
    </row>
    <row r="84" spans="1:4" x14ac:dyDescent="0.2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2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2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2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2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2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2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2">
      <c r="A91" s="8" t="s">
        <v>63</v>
      </c>
      <c r="B91" s="13">
        <f>+SUM(B76:B90)</f>
        <v>122151</v>
      </c>
      <c r="C91" s="13">
        <f t="shared" ref="C91:D91" si="41">+SUM(C76:C90)</f>
        <v>104038</v>
      </c>
      <c r="D91" s="13">
        <f t="shared" si="41"/>
        <v>80674</v>
      </c>
    </row>
    <row r="92" spans="1:4" x14ac:dyDescent="0.2">
      <c r="A92" s="7" t="s">
        <v>64</v>
      </c>
      <c r="B92" s="12"/>
      <c r="C92" s="12"/>
      <c r="D92" s="12"/>
    </row>
    <row r="93" spans="1:4" x14ac:dyDescent="0.2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2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2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2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2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2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2">
      <c r="A99" s="8" t="s">
        <v>70</v>
      </c>
      <c r="B99" s="13">
        <f>+SUM(B93:B98)</f>
        <v>-22354</v>
      </c>
      <c r="C99" s="13">
        <f t="shared" ref="C99:D99" si="42">+SUM(C93:C98)</f>
        <v>-14545</v>
      </c>
      <c r="D99" s="13">
        <f t="shared" si="42"/>
        <v>-4289</v>
      </c>
    </row>
    <row r="100" spans="1:4" x14ac:dyDescent="0.2">
      <c r="A100" s="7" t="s">
        <v>71</v>
      </c>
      <c r="B100" s="12"/>
      <c r="C100" s="12"/>
      <c r="D100" s="12"/>
    </row>
    <row r="101" spans="1:4" x14ac:dyDescent="0.2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2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2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2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2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2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2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2">
      <c r="A108" s="8" t="s">
        <v>77</v>
      </c>
      <c r="B108" s="13">
        <f>+SUM(B101:B107)</f>
        <v>-110749</v>
      </c>
      <c r="C108" s="13">
        <f t="shared" ref="C108:D108" si="43">+SUM(C101:C107)</f>
        <v>-93353</v>
      </c>
      <c r="D108" s="13">
        <f t="shared" si="43"/>
        <v>-86820</v>
      </c>
    </row>
    <row r="109" spans="1:4" x14ac:dyDescent="0.2">
      <c r="A109" s="8" t="s">
        <v>78</v>
      </c>
      <c r="B109" s="13">
        <f>+B91+B99+B108</f>
        <v>-10952</v>
      </c>
      <c r="C109" s="13">
        <f t="shared" ref="C109:D109" si="44">+C91+C99+C108</f>
        <v>-3860</v>
      </c>
      <c r="D109" s="13">
        <f t="shared" si="44"/>
        <v>-10435</v>
      </c>
    </row>
    <row r="110" spans="1:4" ht="16" thickBot="1" x14ac:dyDescent="0.2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6" thickTop="1" x14ac:dyDescent="0.2">
      <c r="B111" s="12"/>
      <c r="C111" s="12"/>
      <c r="D111" s="12"/>
    </row>
    <row r="112" spans="1:4" x14ac:dyDescent="0.2">
      <c r="A112" t="s">
        <v>80</v>
      </c>
      <c r="B112" s="12"/>
      <c r="C112" s="12"/>
      <c r="D112" s="12"/>
    </row>
    <row r="113" spans="1:4" x14ac:dyDescent="0.2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2">
      <c r="A114" t="s">
        <v>82</v>
      </c>
      <c r="B114" s="12">
        <v>2865</v>
      </c>
      <c r="C114" s="12">
        <v>2687</v>
      </c>
      <c r="D114" s="12">
        <v>3002</v>
      </c>
    </row>
  </sheetData>
  <mergeCells count="8">
    <mergeCell ref="E3:G3"/>
    <mergeCell ref="H3:J3"/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31"/>
  <sheetViews>
    <sheetView tabSelected="1" workbookViewId="0">
      <selection activeCell="I64" sqref="I64:K64"/>
    </sheetView>
  </sheetViews>
  <sheetFormatPr baseColWidth="10" defaultColWidth="8.83203125" defaultRowHeight="15" x14ac:dyDescent="0.2"/>
  <cols>
    <col min="1" max="1" width="4.6640625" customWidth="1"/>
    <col min="2" max="2" width="44.83203125" customWidth="1"/>
    <col min="3" max="5" width="23" bestFit="1" customWidth="1"/>
    <col min="6" max="6" width="9.5" bestFit="1" customWidth="1"/>
    <col min="7" max="7" width="46.6640625" bestFit="1" customWidth="1"/>
    <col min="8" max="8" width="27.1640625" bestFit="1" customWidth="1"/>
    <col min="9" max="10" width="21.6640625" bestFit="1" customWidth="1"/>
  </cols>
  <sheetData>
    <row r="1" spans="1:11" ht="60" customHeight="1" x14ac:dyDescent="0.3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1" x14ac:dyDescent="0.2">
      <c r="C2" s="24" t="s">
        <v>23</v>
      </c>
      <c r="D2" s="24"/>
      <c r="E2" s="24"/>
      <c r="I2" s="7" t="s">
        <v>177</v>
      </c>
    </row>
    <row r="3" spans="1:11" x14ac:dyDescent="0.2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  <c r="H3" s="7">
        <v>2022</v>
      </c>
      <c r="I3" s="7">
        <v>2021</v>
      </c>
      <c r="J3" s="7">
        <v>2020</v>
      </c>
    </row>
    <row r="4" spans="1:11" x14ac:dyDescent="0.2">
      <c r="A4" s="18">
        <v>1</v>
      </c>
      <c r="B4" s="7" t="s">
        <v>99</v>
      </c>
    </row>
    <row r="5" spans="1:11" x14ac:dyDescent="0.2">
      <c r="A5" s="18">
        <f>+A4+0.1</f>
        <v>1.1000000000000001</v>
      </c>
      <c r="B5" s="1" t="s">
        <v>100</v>
      </c>
      <c r="C5" s="27">
        <f>'Financial Statements'!B42/'Financial Statements'!B56</f>
        <v>0.87935602862672257</v>
      </c>
      <c r="D5" s="27">
        <f>'Financial Statements'!C42/'Financial Statements'!C56</f>
        <v>1.0745531195957954</v>
      </c>
      <c r="E5" s="27">
        <f>'Financial Statements'!D42/'Financial Statements'!D56</f>
        <v>1.3636044481554577</v>
      </c>
    </row>
    <row r="6" spans="1:11" x14ac:dyDescent="0.2">
      <c r="A6" s="18">
        <f t="shared" ref="A6:A13" si="0">+A5+0.1</f>
        <v>1.2000000000000002</v>
      </c>
      <c r="B6" s="1" t="s">
        <v>101</v>
      </c>
      <c r="C6" s="27">
        <f>('Financial Statements'!B42-'Financial Statements'!B39)/'Financial Statements'!B56</f>
        <v>0.84723539114961488</v>
      </c>
      <c r="D6" s="27">
        <f>('Financial Statements'!C42-'Financial Statements'!C39)/'Financial Statements'!C56</f>
        <v>1.0221149018576519</v>
      </c>
      <c r="E6" s="27">
        <f>('Financial Statements'!D42-'Financial Statements'!D39)/'Financial Statements'!D56</f>
        <v>1.325072111735236</v>
      </c>
    </row>
    <row r="7" spans="1:11" x14ac:dyDescent="0.2">
      <c r="A7" s="18">
        <f t="shared" si="0"/>
        <v>1.3000000000000003</v>
      </c>
      <c r="B7" s="1" t="s">
        <v>102</v>
      </c>
      <c r="C7" s="27">
        <f>'Financial Statements'!B36/'Financial Statements'!B56</f>
        <v>0.15356340351469652</v>
      </c>
      <c r="D7" s="27">
        <f>'Financial Statements'!C36/'Financial Statements'!C56</f>
        <v>0.27844853005634318</v>
      </c>
      <c r="E7" s="27">
        <f>'Financial Statements'!D36/'Financial Statements'!D56</f>
        <v>0.36071049035979963</v>
      </c>
    </row>
    <row r="8" spans="1:11" x14ac:dyDescent="0.2">
      <c r="A8" s="18">
        <f t="shared" si="0"/>
        <v>1.4000000000000004</v>
      </c>
      <c r="B8" s="1" t="s">
        <v>103</v>
      </c>
      <c r="C8" s="27">
        <f>'Financial Statements'!B42/(('Financial Statements'!B17-'Financial Statements'!B79)/365)</f>
        <v>1228.1708953554833</v>
      </c>
      <c r="D8" s="27">
        <f>'Financial Statements'!C42/(('Financial Statements'!C17-'Financial Statements'!C79)/365)</f>
        <v>1509.5279575499187</v>
      </c>
      <c r="E8" s="27">
        <f>'Financial Statements'!D42/(('Financial Statements'!D17-'Financial Statements'!D79)/365)</f>
        <v>1899.7263870780819</v>
      </c>
      <c r="G8" t="s">
        <v>168</v>
      </c>
    </row>
    <row r="9" spans="1:11" x14ac:dyDescent="0.2">
      <c r="A9" s="18">
        <f t="shared" si="0"/>
        <v>1.5000000000000004</v>
      </c>
      <c r="B9" s="1" t="s">
        <v>104</v>
      </c>
      <c r="C9" s="27">
        <f>'Financial Statements'!B39/'Financial Statements'!B12*365</f>
        <v>8.0756980666171607</v>
      </c>
      <c r="D9" s="27">
        <f>'Financial Statements'!C39/'Financial Statements'!C12*365</f>
        <v>11.27659274770989</v>
      </c>
      <c r="E9" s="27">
        <f>'Financial Statements'!D39/'Financial Statements'!D12*365</f>
        <v>8.7418833562358831</v>
      </c>
      <c r="G9" t="s">
        <v>150</v>
      </c>
      <c r="H9" s="27">
        <f>( ('Financial Statements'!B39+'Financial Statements'!C39)/2)/'Financial Statements'!B12*365</f>
        <v>9.4096740715557434</v>
      </c>
      <c r="I9" s="27">
        <f>(('Financial Statements'!C39+'Financial Statements'!D39)/2)/'Financial Statements'!C12*365</f>
        <v>9.1181020842234748</v>
      </c>
      <c r="J9" s="28" t="s">
        <v>169</v>
      </c>
      <c r="K9" t="s">
        <v>171</v>
      </c>
    </row>
    <row r="10" spans="1:11" x14ac:dyDescent="0.2">
      <c r="A10" s="18">
        <f t="shared" si="0"/>
        <v>1.6000000000000005</v>
      </c>
      <c r="B10" s="1" t="s">
        <v>105</v>
      </c>
      <c r="C10" s="27">
        <f>'Financial Statements'!B51/'Financial Statements'!B12*365</f>
        <v>104.68527730310539</v>
      </c>
      <c r="D10" s="27">
        <f>'Financial Statements'!C51/'Financial Statements'!C12*365</f>
        <v>93.851071222315596</v>
      </c>
      <c r="E10" s="27">
        <f>'Financial Statements'!D51/'Financial Statements'!D12*365</f>
        <v>91.048189715674198</v>
      </c>
      <c r="G10" t="s">
        <v>151</v>
      </c>
      <c r="H10" s="27">
        <f>(('Financial Statements'!B51+'Financial Statements'!C51)/2)/'Financial Statements'!B12*365</f>
        <v>97.050428099809452</v>
      </c>
      <c r="I10" s="27">
        <f>(('Financial Statements'!C51+'Financial Statements'!D51)/2)/'Financial Statements'!C12*365</f>
        <v>83.168299050150011</v>
      </c>
      <c r="J10" s="28" t="s">
        <v>169</v>
      </c>
      <c r="K10" t="s">
        <v>172</v>
      </c>
    </row>
    <row r="11" spans="1:11" x14ac:dyDescent="0.2">
      <c r="A11" s="18">
        <f t="shared" si="0"/>
        <v>1.7000000000000006</v>
      </c>
      <c r="B11" s="1" t="s">
        <v>106</v>
      </c>
      <c r="C11" s="27">
        <f>'Financial Statements'!B38/'Financial Statements'!B8*365</f>
        <v>26.087825363656648</v>
      </c>
      <c r="D11" s="27">
        <f>'Financial Statements'!C38/'Financial Statements'!C8*365</f>
        <v>26.219311841713207</v>
      </c>
      <c r="E11" s="27">
        <f>'Financial Statements'!D38/'Financial Statements'!D8*365</f>
        <v>21.433437152796749</v>
      </c>
      <c r="G11" t="s">
        <v>152</v>
      </c>
      <c r="H11" s="27">
        <f>(('Financial Statements'!B38+'Financial Statements'!C38)/2)/'Financial Statements'!B8*365</f>
        <v>25.205704388225033</v>
      </c>
      <c r="I11" s="27">
        <f>(('Financial Statements'!C38+'Financial Statements'!D38)/2)/'Financial Statements'!C8*365</f>
        <v>21.151655062503931</v>
      </c>
      <c r="J11" s="28" t="s">
        <v>169</v>
      </c>
      <c r="K11" t="s">
        <v>173</v>
      </c>
    </row>
    <row r="12" spans="1:11" x14ac:dyDescent="0.2">
      <c r="A12" s="18">
        <f t="shared" si="0"/>
        <v>1.8000000000000007</v>
      </c>
      <c r="B12" s="1" t="s">
        <v>107</v>
      </c>
      <c r="C12" s="27">
        <f>C11+C9-C10</f>
        <v>-70.521753872831582</v>
      </c>
      <c r="D12" s="27">
        <f t="shared" ref="D12:E12" si="1">D11+D9-D10</f>
        <v>-56.355166632892498</v>
      </c>
      <c r="E12" s="27">
        <f t="shared" si="1"/>
        <v>-60.872869206641568</v>
      </c>
    </row>
    <row r="13" spans="1:11" x14ac:dyDescent="0.2">
      <c r="A13" s="18">
        <f t="shared" si="0"/>
        <v>1.9000000000000008</v>
      </c>
      <c r="B13" s="1" t="s">
        <v>108</v>
      </c>
      <c r="C13" s="26">
        <f>C14/'Financial Statements'!B8</f>
        <v>-4.711052727678481E-2</v>
      </c>
      <c r="D13" s="26">
        <f>D14/'Financial Statements'!C8</f>
        <v>2.557289573748623E-2</v>
      </c>
      <c r="E13" s="26">
        <f>E14/'Financial Statements'!D8</f>
        <v>0.13959528623208203</v>
      </c>
    </row>
    <row r="14" spans="1:11" x14ac:dyDescent="0.2">
      <c r="A14" s="18"/>
      <c r="B14" s="3" t="s">
        <v>109</v>
      </c>
      <c r="C14">
        <f>'Financial Statements'!B42-'Financial Statements'!B56</f>
        <v>-18577</v>
      </c>
      <c r="D14">
        <f>'Financial Statements'!C42-'Financial Statements'!C56</f>
        <v>9355</v>
      </c>
      <c r="E14">
        <f>'Financial Statements'!D42-'Financial Statements'!D56</f>
        <v>38321</v>
      </c>
      <c r="G14" t="s">
        <v>160</v>
      </c>
    </row>
    <row r="15" spans="1:11" x14ac:dyDescent="0.2">
      <c r="A15" s="18"/>
    </row>
    <row r="16" spans="1:11" x14ac:dyDescent="0.2">
      <c r="A16" s="18">
        <f>+A4+1</f>
        <v>2</v>
      </c>
      <c r="B16" s="17" t="s">
        <v>110</v>
      </c>
    </row>
    <row r="17" spans="1:7" x14ac:dyDescent="0.2">
      <c r="A17" s="18">
        <f>+A16+0.1</f>
        <v>2.1</v>
      </c>
      <c r="B17" s="1" t="s">
        <v>9</v>
      </c>
      <c r="C17" s="26">
        <f>'Financial Statements'!B13/'Financial Statements'!B8</f>
        <v>0.43309630561360085</v>
      </c>
      <c r="D17" s="26">
        <f>'Financial Statements'!C13/'Financial Statements'!C8</f>
        <v>0.41779359625167778</v>
      </c>
      <c r="E17" s="26">
        <f>'Financial Statements'!D13/'Financial Statements'!D8</f>
        <v>0.38233247727810865</v>
      </c>
    </row>
    <row r="18" spans="1:7" x14ac:dyDescent="0.2">
      <c r="A18" s="18">
        <f>+A17+0.1</f>
        <v>2.2000000000000002</v>
      </c>
      <c r="B18" s="1" t="s">
        <v>111</v>
      </c>
      <c r="C18" s="26">
        <f>('Financial Statements'!B20+'Financial Statements'!B114+'Financial Statements'!B79)/'Financial Statements'!B8</f>
        <v>0.33746525734921184</v>
      </c>
      <c r="D18" s="26">
        <f>('Financial Statements'!C20+'Financial Statements'!C114+'Financial Statements'!C79)/'Financial Statements'!C8</f>
        <v>0.33672027270465832</v>
      </c>
      <c r="E18" s="26">
        <f>('Financial Statements'!D20+'Financial Statements'!D114+'Financial Statements'!D79)/'Financial Statements'!D8</f>
        <v>0.29560861883685774</v>
      </c>
    </row>
    <row r="19" spans="1:7" x14ac:dyDescent="0.2">
      <c r="A19" s="18"/>
      <c r="B19" s="3" t="s">
        <v>112</v>
      </c>
      <c r="C19">
        <f>'Financial Statements'!B20+'Financial Statements'!B114+'Financial Statements'!B79</f>
        <v>133072</v>
      </c>
      <c r="D19">
        <f>'Financial Statements'!C20+'Financial Statements'!C114+'Financial Statements'!C79</f>
        <v>123178</v>
      </c>
      <c r="E19">
        <f>'Financial Statements'!D20+'Financial Statements'!D114+'Financial Statements'!D79</f>
        <v>81149</v>
      </c>
      <c r="G19" t="s">
        <v>160</v>
      </c>
    </row>
    <row r="20" spans="1:7" x14ac:dyDescent="0.2">
      <c r="A20" s="18">
        <f>+A18+0.1</f>
        <v>2.3000000000000003</v>
      </c>
      <c r="B20" s="1" t="s">
        <v>113</v>
      </c>
      <c r="C20" s="26">
        <f>C21/'Financial Statements'!B8</f>
        <v>0.30930595849140818</v>
      </c>
      <c r="D20" s="26">
        <f>D21/'Financial Statements'!C8</f>
        <v>0.30587424859970969</v>
      </c>
      <c r="E20" s="26">
        <f>E21/'Financial Statements'!D8</f>
        <v>0.25533395260732566</v>
      </c>
    </row>
    <row r="21" spans="1:7" x14ac:dyDescent="0.2">
      <c r="A21" s="18"/>
      <c r="B21" s="3" t="s">
        <v>114</v>
      </c>
      <c r="C21">
        <f>'Financial Statements'!B20+'Financial Statements'!B114</f>
        <v>121968</v>
      </c>
      <c r="D21">
        <f>'Financial Statements'!C20+'Financial Statements'!C114</f>
        <v>111894</v>
      </c>
      <c r="E21">
        <f>'Financial Statements'!D20+'Financial Statements'!D114</f>
        <v>70093</v>
      </c>
      <c r="G21" t="s">
        <v>160</v>
      </c>
    </row>
    <row r="22" spans="1:7" x14ac:dyDescent="0.2">
      <c r="A22" s="18">
        <f>+A20+0.1</f>
        <v>2.4000000000000004</v>
      </c>
      <c r="B22" s="1" t="s">
        <v>115</v>
      </c>
      <c r="C22" s="26">
        <f>'Financial Statements'!B22/'Financial Statements'!B8</f>
        <v>0.25309640705199732</v>
      </c>
      <c r="D22" s="26">
        <f>'Financial Statements'!C22/'Financial Statements'!C8</f>
        <v>0.25881793355694238</v>
      </c>
      <c r="E22" s="26">
        <f>'Financial Statements'!D22/'Financial Statements'!D8</f>
        <v>0.20913611278072236</v>
      </c>
    </row>
    <row r="23" spans="1:7" x14ac:dyDescent="0.2">
      <c r="A23" s="18"/>
    </row>
    <row r="24" spans="1:7" x14ac:dyDescent="0.2">
      <c r="A24" s="18">
        <f>+A16+1</f>
        <v>3</v>
      </c>
      <c r="B24" s="7" t="s">
        <v>116</v>
      </c>
    </row>
    <row r="25" spans="1:7" x14ac:dyDescent="0.2">
      <c r="A25" s="18">
        <f>+A24+0.1</f>
        <v>3.1</v>
      </c>
      <c r="B25" s="1" t="s">
        <v>117</v>
      </c>
      <c r="C25" s="27">
        <f>('Financial Statements'!B54+'Financial Statements'!B55+'Financial Statements'!B59)/'Financial Statements'!B68</f>
        <v>2.3695334701610355</v>
      </c>
      <c r="D25" s="27">
        <f>('Financial Statements'!C54+'Financial Statements'!C55+'Financial Statements'!C59)/'Financial Statements'!C68</f>
        <v>1.9768426058012363</v>
      </c>
      <c r="E25" s="27">
        <f>('Financial Statements'!D54+'Financial Statements'!D55+'Financial Statements'!D59)/'Financial Statements'!D68</f>
        <v>1.7208099297509909</v>
      </c>
    </row>
    <row r="26" spans="1:7" x14ac:dyDescent="0.2">
      <c r="A26" s="18">
        <f t="shared" ref="A26:A30" si="2">+A25+0.1</f>
        <v>3.2</v>
      </c>
      <c r="B26" s="1" t="s">
        <v>118</v>
      </c>
      <c r="C26" s="27">
        <f>('Financial Statements'!B54+'Financial Statements'!B55+'Financial Statements'!B59)/'Financial Statements'!B48</f>
        <v>0.34037504783773442</v>
      </c>
      <c r="D26" s="27">
        <f>('Financial Statements'!C54+'Financial Statements'!C55+'Financial Statements'!C59)/'Financial Statements'!C48</f>
        <v>0.35532276169366556</v>
      </c>
      <c r="E26" s="27">
        <f>('Financial Statements'!D54+'Financial Statements'!D55+'Financial Statements'!D59)/'Financial Statements'!D48</f>
        <v>0.34714469199229364</v>
      </c>
    </row>
    <row r="27" spans="1:7" x14ac:dyDescent="0.2">
      <c r="A27" s="18">
        <f t="shared" si="2"/>
        <v>3.3000000000000003</v>
      </c>
      <c r="B27" s="1" t="s">
        <v>119</v>
      </c>
      <c r="C27" s="27">
        <f>'Financial Statements'!B59/('Financial Statements'!B59+'Financial Statements'!B68)</f>
        <v>0.66135359651409131</v>
      </c>
      <c r="D27" s="27">
        <f>'Financial Statements'!C59/('Financial Statements'!C59+'Financial Statements'!C68)</f>
        <v>0.63361518269878514</v>
      </c>
      <c r="E27" s="27">
        <f>'Financial Statements'!D59/('Financial Statements'!D59+'Financial Statements'!D68)</f>
        <v>0.60160603880345842</v>
      </c>
    </row>
    <row r="28" spans="1:7" x14ac:dyDescent="0.2">
      <c r="A28" s="18">
        <f t="shared" si="2"/>
        <v>3.4000000000000004</v>
      </c>
      <c r="B28" s="1" t="s">
        <v>120</v>
      </c>
      <c r="C28" s="27">
        <f>C19/'Financial Statements'!B114</f>
        <v>46.447469458987783</v>
      </c>
      <c r="D28" s="27">
        <f>D19/'Financial Statements'!C114</f>
        <v>45.842203200595456</v>
      </c>
      <c r="E28" s="27">
        <f>E19/'Financial Statements'!D114</f>
        <v>27.031645569620252</v>
      </c>
      <c r="G28" t="s">
        <v>153</v>
      </c>
    </row>
    <row r="29" spans="1:7" x14ac:dyDescent="0.2">
      <c r="A29" s="18">
        <f t="shared" si="2"/>
        <v>3.5000000000000004</v>
      </c>
      <c r="B29" s="1" t="s">
        <v>121</v>
      </c>
      <c r="C29" s="27">
        <f>C19/('Financial Statements'!B54+'Financial Statements'!B55+'Financial Statements'!B59+'Financial Statements'!B114)</f>
        <v>1.0824670148209607</v>
      </c>
      <c r="D29" s="27">
        <f>D19/('Financial Statements'!C54+'Financial Statements'!C55+'Financial Statements'!C59+'Financial Statements'!C114)</f>
        <v>0.96681474969781644</v>
      </c>
      <c r="E29" s="27">
        <f>E19/('Financial Statements'!D54+'Financial Statements'!D55+'Financial Statements'!D59+'Financial Statements'!D114)</f>
        <v>0.70296609435367907</v>
      </c>
      <c r="G29" t="s">
        <v>154</v>
      </c>
    </row>
    <row r="30" spans="1:7" x14ac:dyDescent="0.2">
      <c r="A30" s="18">
        <f t="shared" si="2"/>
        <v>3.6000000000000005</v>
      </c>
      <c r="B30" s="1" t="s">
        <v>122</v>
      </c>
      <c r="C30" s="27">
        <f>C31*1000000/4754986000</f>
        <v>23.411215090854107</v>
      </c>
      <c r="D30" s="27">
        <f t="shared" ref="D30:E30" si="3">D31*1000000/4754986000</f>
        <v>22.212052779966125</v>
      </c>
      <c r="E30" s="27">
        <f t="shared" si="3"/>
        <v>15.954621107191484</v>
      </c>
      <c r="G30" t="s">
        <v>159</v>
      </c>
    </row>
    <row r="31" spans="1:7" x14ac:dyDescent="0.2">
      <c r="A31" s="18"/>
      <c r="B31" s="3" t="s">
        <v>123</v>
      </c>
      <c r="C31">
        <f>'Financial Statements'!B91+'Financial Statements'!B96+('Financial Statements'!B104+'Financial Statements'!B105+'Financial Statements'!B106)</f>
        <v>111320</v>
      </c>
      <c r="D31">
        <f>'Financial Statements'!C91+'Financial Statements'!C96+('Financial Statements'!C104+'Financial Statements'!C105+'Financial Statements'!C106)</f>
        <v>105618</v>
      </c>
      <c r="E31">
        <f>'Financial Statements'!D91+'Financial Statements'!D96+('Financial Statements'!D104+'Financial Statements'!D105+'Financial Statements'!D106)</f>
        <v>75864</v>
      </c>
      <c r="G31" t="s">
        <v>160</v>
      </c>
    </row>
    <row r="32" spans="1:7" x14ac:dyDescent="0.2">
      <c r="A32" s="18"/>
    </row>
    <row r="33" spans="1:11" x14ac:dyDescent="0.2">
      <c r="A33" s="18">
        <f>+A24+1</f>
        <v>4</v>
      </c>
      <c r="B33" s="17" t="s">
        <v>124</v>
      </c>
    </row>
    <row r="34" spans="1:11" x14ac:dyDescent="0.2">
      <c r="A34" s="18">
        <f>+A33+0.1</f>
        <v>4.0999999999999996</v>
      </c>
      <c r="B34" s="1" t="s">
        <v>125</v>
      </c>
      <c r="C34" s="27">
        <f>'Financial Statements'!B8/'Financial Statements'!B48</f>
        <v>1.1178523337727317</v>
      </c>
      <c r="D34" s="27">
        <f>'Financial Statements'!C8/'Financial Statements'!C48</f>
        <v>1.0422077367080529</v>
      </c>
      <c r="E34" s="27">
        <f>'Financial Statements'!D8/'Financial Statements'!D48</f>
        <v>0.84756150274168851</v>
      </c>
      <c r="G34" t="s">
        <v>155</v>
      </c>
      <c r="H34" s="27">
        <f>'Financial Statements'!B8/(('Financial Statements'!B48+'Financial Statements'!C48)/2)</f>
        <v>1.1206368107173357</v>
      </c>
      <c r="I34" s="27">
        <f>'Financial Statements'!C8/(('Financial Statements'!C48+'Financial Statements'!D48)/2)</f>
        <v>1.084078886929722</v>
      </c>
      <c r="J34" s="28" t="s">
        <v>169</v>
      </c>
      <c r="K34" t="s">
        <v>174</v>
      </c>
    </row>
    <row r="35" spans="1:11" x14ac:dyDescent="0.2">
      <c r="A35" s="18">
        <f t="shared" ref="A35:A37" si="4">+A34+0.1</f>
        <v>4.1999999999999993</v>
      </c>
      <c r="B35" s="1" t="s">
        <v>126</v>
      </c>
      <c r="C35" s="27">
        <f>'Financial Statements'!B8/'Financial Statements'!B45</f>
        <v>9.3626801529073767</v>
      </c>
      <c r="D35" s="27">
        <f>'Financial Statements'!C8/'Financial Statements'!C45</f>
        <v>9.2752789046653152</v>
      </c>
      <c r="E35" s="27">
        <f>'Financial Statements'!D8/'Financial Statements'!D45</f>
        <v>7.4665451776097482</v>
      </c>
      <c r="G35" t="s">
        <v>156</v>
      </c>
      <c r="H35" s="27">
        <f>'Financial Statements'!B8/(('Financial Statements'!B45+'Financial Statements'!C45)/2)</f>
        <v>9.6699976703409884</v>
      </c>
      <c r="I35" s="27">
        <f>'Financial Statements'!C8/(('Financial Statements'!C45+'Financial Statements'!D45)/2)</f>
        <v>9.6007400992047867</v>
      </c>
      <c r="J35" s="28" t="s">
        <v>169</v>
      </c>
      <c r="K35" t="s">
        <v>175</v>
      </c>
    </row>
    <row r="36" spans="1:11" x14ac:dyDescent="0.2">
      <c r="A36" s="18">
        <f t="shared" si="4"/>
        <v>4.2999999999999989</v>
      </c>
      <c r="B36" s="1" t="s">
        <v>127</v>
      </c>
      <c r="C36" s="27">
        <f>'Financial Statements'!B12/'Financial Statements'!B39</f>
        <v>45.197331176708452</v>
      </c>
      <c r="D36" s="27">
        <f>'Financial Statements'!C12/'Financial Statements'!C39</f>
        <v>32.367933130699086</v>
      </c>
      <c r="E36" s="27">
        <f>'Financial Statements'!D12/'Financial Statements'!D39</f>
        <v>41.753016498399411</v>
      </c>
      <c r="G36" t="s">
        <v>150</v>
      </c>
      <c r="H36" s="27">
        <f>'Financial Statements'!B12/(('Financial Statements'!B39+'Financial Statements'!C39)/2)</f>
        <v>38.789866389033492</v>
      </c>
      <c r="I36" s="27">
        <f>'Financial Statements'!C12/(('Financial Statements'!C39+'Financial Statements'!D39)/2)</f>
        <v>40.030260313880277</v>
      </c>
      <c r="J36" s="28" t="s">
        <v>169</v>
      </c>
      <c r="K36" t="s">
        <v>171</v>
      </c>
    </row>
    <row r="37" spans="1:11" x14ac:dyDescent="0.2">
      <c r="A37" s="18">
        <f t="shared" si="4"/>
        <v>4.3999999999999986</v>
      </c>
      <c r="B37" s="1" t="s">
        <v>128</v>
      </c>
      <c r="C37" s="27">
        <f>'Financial Statements'!B22/'Financial Statements'!B48</f>
        <v>0.28292440929256851</v>
      </c>
      <c r="D37" s="27">
        <f>'Financial Statements'!C22/'Financial Statements'!C48</f>
        <v>0.26974205275183616</v>
      </c>
      <c r="E37" s="27">
        <f>'Financial Statements'!D22/'Financial Statements'!D48</f>
        <v>0.1772557180259843</v>
      </c>
    </row>
    <row r="38" spans="1:11" x14ac:dyDescent="0.2">
      <c r="A38" s="18"/>
    </row>
    <row r="39" spans="1:11" x14ac:dyDescent="0.2">
      <c r="A39" s="18">
        <f>+A33+1</f>
        <v>5</v>
      </c>
      <c r="B39" s="17" t="s">
        <v>129</v>
      </c>
      <c r="I39" s="7"/>
      <c r="J39" s="7"/>
    </row>
    <row r="40" spans="1:11" x14ac:dyDescent="0.2">
      <c r="A40" s="18">
        <f>+A39+0.1</f>
        <v>5.0999999999999996</v>
      </c>
      <c r="B40" s="1" t="s">
        <v>130</v>
      </c>
      <c r="C40" s="27">
        <f>$B$61/C41</f>
        <v>36.807235586004424</v>
      </c>
      <c r="D40" s="27">
        <f>$B$61/D41</f>
        <v>40.080010817384874</v>
      </c>
      <c r="E40" s="27">
        <f>$B$61/E41</f>
        <v>68.698044488686833</v>
      </c>
      <c r="G40" t="s">
        <v>158</v>
      </c>
    </row>
    <row r="41" spans="1:11" x14ac:dyDescent="0.2">
      <c r="A41" s="18">
        <f t="shared" ref="A41:A44" si="5">+A40+0.1</f>
        <v>5.1999999999999993</v>
      </c>
      <c r="B41" s="3" t="s">
        <v>131</v>
      </c>
      <c r="C41" s="27">
        <f>('Financial Statements'!B22*1000000)/('Financial Statements'!B28*1000)</f>
        <v>6.1132002014722815</v>
      </c>
      <c r="D41" s="27">
        <f>('Financial Statements'!C22*1000000)/('Financial Statements'!C28*1000)</f>
        <v>5.6140204408927197</v>
      </c>
      <c r="E41" s="27">
        <f>('Financial Statements'!D22*1000000)/('Financial Statements'!D28*1000)</f>
        <v>3.2753479618630856</v>
      </c>
      <c r="G41" t="s">
        <v>157</v>
      </c>
    </row>
    <row r="42" spans="1:11" x14ac:dyDescent="0.2">
      <c r="A42" s="18">
        <f t="shared" si="5"/>
        <v>5.2999999999999989</v>
      </c>
      <c r="B42" s="1" t="s">
        <v>132</v>
      </c>
      <c r="C42" s="27">
        <f>$B$61/((('Financial Statements'!B48-'Financial Statements'!B62)*1000000)/4754986000)</f>
        <v>21.114607670113671</v>
      </c>
      <c r="D42" s="27">
        <f>$B$61/((('Financial Statements'!C48-'Financial Statements'!C62)*1000000)/4754986000)</f>
        <v>16.958621015374863</v>
      </c>
      <c r="E42" s="27">
        <f>$B$61/((('Financial Statements'!D48-'Financial Statements'!D62)*1000000)/4754986000)</f>
        <v>16.374897073111004</v>
      </c>
    </row>
    <row r="43" spans="1:11" x14ac:dyDescent="0.2">
      <c r="A43" s="18">
        <f t="shared" si="5"/>
        <v>5.3999999999999986</v>
      </c>
      <c r="B43" s="3" t="s">
        <v>133</v>
      </c>
      <c r="C43" s="27">
        <f>((('Financial Statements'!B48-'Financial Statements'!B62)*1000000)/4754986000)</f>
        <v>10.656603405351772</v>
      </c>
      <c r="D43" s="27">
        <f>((('Financial Statements'!C48-'Financial Statements'!C62)*1000000)/4754986000)</f>
        <v>13.268177866349133</v>
      </c>
      <c r="E43" s="27">
        <f>((('Financial Statements'!D48-'Financial Statements'!D62)*1000000)/4754986000)</f>
        <v>13.741155073853005</v>
      </c>
    </row>
    <row r="44" spans="1:11" x14ac:dyDescent="0.2">
      <c r="A44" s="18">
        <f t="shared" si="5"/>
        <v>5.4999999999999982</v>
      </c>
      <c r="B44" s="1" t="s">
        <v>134</v>
      </c>
      <c r="C44" s="27">
        <f>C45/C41</f>
        <v>0.51055825644751363</v>
      </c>
      <c r="D44" s="27">
        <f t="shared" ref="D44:E44" si="6">D45/D41</f>
        <v>0.5419450442444349</v>
      </c>
      <c r="E44" s="27">
        <f t="shared" si="6"/>
        <v>0.90412152968884973</v>
      </c>
      <c r="G44" t="s">
        <v>158</v>
      </c>
    </row>
    <row r="45" spans="1:11" x14ac:dyDescent="0.2">
      <c r="A45" s="18"/>
      <c r="B45" s="3" t="s">
        <v>135</v>
      </c>
      <c r="C45" s="27">
        <f>(-'Financial Statements'!B102*1000000)/4754986000</f>
        <v>3.121144836178277</v>
      </c>
      <c r="D45" s="27">
        <f>(-'Financial Statements'!C102*1000000)/4754986000</f>
        <v>3.042490556228767</v>
      </c>
      <c r="E45" s="27">
        <f>(-'Financial Statements'!D102*1000000)/4754986000</f>
        <v>2.9613126095429094</v>
      </c>
      <c r="G45" t="s">
        <v>162</v>
      </c>
    </row>
    <row r="46" spans="1:11" x14ac:dyDescent="0.2">
      <c r="A46" s="18">
        <f>+A44+0.1</f>
        <v>5.5999999999999979</v>
      </c>
      <c r="B46" s="1" t="s">
        <v>136</v>
      </c>
      <c r="C46" s="26">
        <f>C45/$B$61</f>
        <v>1.3871138332422013E-2</v>
      </c>
      <c r="D46" s="26">
        <f>D45/$B$61</f>
        <v>1.3521579290826039E-2</v>
      </c>
      <c r="E46" s="26">
        <f>E45/$B$61</f>
        <v>1.3160804451103993E-2</v>
      </c>
    </row>
    <row r="47" spans="1:11" x14ac:dyDescent="0.2">
      <c r="A47" s="18">
        <f t="shared" ref="A47:A50" si="7">+A45+0.1</f>
        <v>0.1</v>
      </c>
      <c r="B47" s="1" t="s">
        <v>137</v>
      </c>
      <c r="C47" s="27">
        <f>'Financial Statements'!B22/'Financial Statements'!B68</f>
        <v>1.9695887275023682</v>
      </c>
      <c r="D47" s="27">
        <f>'Financial Statements'!C22/'Financial Statements'!C68</f>
        <v>1.5007132667617689</v>
      </c>
      <c r="E47" s="27">
        <f>'Financial Statements'!D22/'Financial Statements'!D68</f>
        <v>0.87866358530127486</v>
      </c>
      <c r="G47" t="s">
        <v>161</v>
      </c>
      <c r="H47" s="27">
        <f>'Financial Statements'!B22/(('Financial Statements'!B68+'Financial Statements'!C68)/2)</f>
        <v>1.7545929220653644</v>
      </c>
      <c r="I47" s="27">
        <f>'Financial Statements'!C22/(('Financial Statements'!C68+'Financial Statements'!D68)/2)</f>
        <v>1.4744333444938449</v>
      </c>
      <c r="J47" s="28" t="s">
        <v>169</v>
      </c>
      <c r="K47" t="s">
        <v>176</v>
      </c>
    </row>
    <row r="48" spans="1:11" x14ac:dyDescent="0.2">
      <c r="A48" s="18">
        <f t="shared" si="7"/>
        <v>5.6999999999999975</v>
      </c>
      <c r="B48" s="1" t="s">
        <v>138</v>
      </c>
      <c r="C48" s="27">
        <f>C21/('Financial Statements'!B48-'Financial Statements'!B56)</f>
        <v>0.61360446338285379</v>
      </c>
      <c r="D48" s="27">
        <f>D21/('Financial Statements'!C48-'Financial Statements'!C56)</f>
        <v>0.49615778574944241</v>
      </c>
      <c r="E48" s="27">
        <f>E21/('Financial Statements'!D48-'Financial Statements'!D56)</f>
        <v>0.32079763473930872</v>
      </c>
      <c r="H48" s="27"/>
      <c r="I48" s="27"/>
    </row>
    <row r="49" spans="1:11" x14ac:dyDescent="0.2">
      <c r="A49" s="18">
        <f t="shared" si="7"/>
        <v>0.2</v>
      </c>
      <c r="B49" s="1" t="s">
        <v>128</v>
      </c>
      <c r="C49" s="27">
        <f>'Financial Statements'!B22/'Financial Statements'!B48</f>
        <v>0.28292440929256851</v>
      </c>
      <c r="D49" s="27">
        <f>'Financial Statements'!C22/'Financial Statements'!C48</f>
        <v>0.26974205275183616</v>
      </c>
      <c r="E49" s="27">
        <f>'Financial Statements'!D22/'Financial Statements'!D48</f>
        <v>0.1772557180259843</v>
      </c>
      <c r="G49" t="s">
        <v>155</v>
      </c>
      <c r="H49" s="27">
        <f>'Financial Statements'!B22/(('Financial Statements'!B48+'Financial Statements'!C48)/2)</f>
        <v>0.28362915040276687</v>
      </c>
      <c r="I49" s="27">
        <f>'Financial Statements'!C22/(('Financial Statements'!C48+'Financial Statements'!D48)/2)</f>
        <v>0.28057905732786081</v>
      </c>
      <c r="J49" s="28" t="s">
        <v>169</v>
      </c>
      <c r="K49" t="s">
        <v>174</v>
      </c>
    </row>
    <row r="50" spans="1:11" x14ac:dyDescent="0.2">
      <c r="A50" s="18">
        <f t="shared" si="7"/>
        <v>5.7999999999999972</v>
      </c>
      <c r="B50" s="1" t="s">
        <v>139</v>
      </c>
      <c r="C50" s="27">
        <f>C51/(C19*1000000)</f>
        <v>8.5794487184381385</v>
      </c>
      <c r="D50" s="27">
        <f t="shared" ref="D50:E50" si="8">D51/(D19*1000000)</f>
        <v>9.1899478791667342</v>
      </c>
      <c r="E50" s="27">
        <f t="shared" si="8"/>
        <v>13.449486744876708</v>
      </c>
    </row>
    <row r="51" spans="1:11" x14ac:dyDescent="0.2">
      <c r="A51" s="18"/>
      <c r="B51" s="3" t="s">
        <v>140</v>
      </c>
      <c r="C51" s="27">
        <f>($B$61*4754986000) + (('Financial Statements'!B54+'Financial Statements'!B55+'Financial Statements'!B59)*1000000) -( ('Financial Statements'!B36+'Financial Statements'!B37)*1000000)</f>
        <v>1141684399860</v>
      </c>
      <c r="D51" s="27">
        <f>($B$61*4754986000) + (('Financial Statements'!C54+'Financial Statements'!C55+'Financial Statements'!C59)*1000000) - ('Financial Statements'!C36+'Financial Statements'!C37)*1000000</f>
        <v>1131999399860</v>
      </c>
      <c r="E51" s="27">
        <f>($B$61*4754986000) + (('Financial Statements'!D54+'Financial Statements'!D55+'Financial Statements'!D59)*1000000) - ('Financial Statements'!D36+'Financial Statements'!D37)*1000000</f>
        <v>1091412399860</v>
      </c>
    </row>
    <row r="53" spans="1:11" x14ac:dyDescent="0.2">
      <c r="B53" s="11" t="s">
        <v>166</v>
      </c>
    </row>
    <row r="54" spans="1:11" x14ac:dyDescent="0.2">
      <c r="B54" s="1" t="s">
        <v>94</v>
      </c>
      <c r="C54" s="26">
        <f>'Financial Statements'!B113/('Financial Statements'!B114+'Financial Statements'!B20)</f>
        <v>0.16047651843106389</v>
      </c>
      <c r="D54" s="26">
        <f>'Financial Statements'!C113/('Financial Statements'!C114+'Financial Statements'!C20)</f>
        <v>0.22686649865050851</v>
      </c>
      <c r="E54" s="26">
        <f>'Financial Statements'!D113/('Financial Statements'!D114+'Financial Statements'!D20)</f>
        <v>0.13554848558343915</v>
      </c>
      <c r="G54" t="s">
        <v>167</v>
      </c>
    </row>
    <row r="55" spans="1:11" x14ac:dyDescent="0.2">
      <c r="B55" s="1" t="s">
        <v>95</v>
      </c>
      <c r="C55" s="26">
        <f>-'Financial Statements'!B96/'Financial Statements'!B8</f>
        <v>2.7155058732831552E-2</v>
      </c>
      <c r="D55" s="26">
        <f>-'Financial Statements'!C96/'Financial Statements'!C8</f>
        <v>3.0302036264033657E-2</v>
      </c>
      <c r="E55" s="26">
        <f>-'Financial Statements'!D96/'Financial Statements'!D8</f>
        <v>2.6625138881299748E-2</v>
      </c>
    </row>
    <row r="56" spans="1:11" x14ac:dyDescent="0.2">
      <c r="B56" s="1" t="s">
        <v>96</v>
      </c>
      <c r="C56" s="26">
        <f>-'Financial Statements'!B96/'Financial Statements'!B45</f>
        <v>0.25424412944891611</v>
      </c>
      <c r="D56" s="26">
        <f>-'Financial Statements'!C96/'Financial Statements'!C45</f>
        <v>0.28105983772819471</v>
      </c>
      <c r="E56" s="26">
        <f>-'Financial Statements'!D96/'Financial Statements'!D45</f>
        <v>0.19879780231735844</v>
      </c>
    </row>
    <row r="58" spans="1:11" x14ac:dyDescent="0.2">
      <c r="B58" s="11" t="s">
        <v>178</v>
      </c>
    </row>
    <row r="60" spans="1:11" x14ac:dyDescent="0.2">
      <c r="B60" s="7" t="s">
        <v>170</v>
      </c>
    </row>
    <row r="61" spans="1:11" x14ac:dyDescent="0.2">
      <c r="B61" s="32">
        <v>225.01</v>
      </c>
    </row>
    <row r="64" spans="1:11" x14ac:dyDescent="0.2">
      <c r="C64" s="24" t="s">
        <v>23</v>
      </c>
      <c r="D64" s="24"/>
      <c r="E64" s="24"/>
      <c r="F64" s="39" t="s">
        <v>163</v>
      </c>
      <c r="G64" s="40"/>
      <c r="H64" s="40"/>
      <c r="I64" s="39" t="s">
        <v>165</v>
      </c>
      <c r="J64" s="40"/>
      <c r="K64" s="40"/>
    </row>
    <row r="65" spans="2:11" x14ac:dyDescent="0.2">
      <c r="C65" s="7">
        <v>2022</v>
      </c>
      <c r="D65" s="7">
        <v>2021</v>
      </c>
      <c r="E65" s="7">
        <v>2020</v>
      </c>
      <c r="F65" s="33">
        <v>2022</v>
      </c>
      <c r="G65" s="7">
        <v>2021</v>
      </c>
      <c r="H65" s="7">
        <v>2020</v>
      </c>
      <c r="I65" s="33">
        <v>2022</v>
      </c>
      <c r="J65" s="7">
        <v>2021</v>
      </c>
      <c r="K65" s="7">
        <v>2020</v>
      </c>
    </row>
    <row r="66" spans="2:11" x14ac:dyDescent="0.2">
      <c r="B66" t="s">
        <v>3</v>
      </c>
      <c r="F66" s="34"/>
      <c r="I66" s="34"/>
    </row>
    <row r="67" spans="2:11" x14ac:dyDescent="0.2">
      <c r="B67" s="1" t="s">
        <v>4</v>
      </c>
      <c r="C67" s="12">
        <v>316199</v>
      </c>
      <c r="D67" s="12">
        <v>297392</v>
      </c>
      <c r="E67" s="12">
        <v>220747</v>
      </c>
      <c r="F67" s="35">
        <f>(C67-D67)/D67</f>
        <v>6.3239764351428418E-2</v>
      </c>
      <c r="G67" s="26">
        <f>(D67-E67)/E67</f>
        <v>0.34720743656765435</v>
      </c>
      <c r="H67" s="28" t="s">
        <v>164</v>
      </c>
      <c r="I67" s="34"/>
    </row>
    <row r="68" spans="2:11" x14ac:dyDescent="0.2">
      <c r="B68" s="1" t="s">
        <v>5</v>
      </c>
      <c r="C68" s="12">
        <v>78129</v>
      </c>
      <c r="D68" s="12">
        <v>68425</v>
      </c>
      <c r="E68" s="12">
        <v>53768</v>
      </c>
      <c r="F68" s="35">
        <f t="shared" ref="F68:G69" si="9">(C68-D68)/D68</f>
        <v>0.14181951041286078</v>
      </c>
      <c r="G68" s="26">
        <f t="shared" si="9"/>
        <v>0.27259708376729652</v>
      </c>
      <c r="H68" s="28" t="s">
        <v>164</v>
      </c>
      <c r="I68" s="34"/>
    </row>
    <row r="69" spans="2:11" x14ac:dyDescent="0.2">
      <c r="B69" s="8" t="s">
        <v>6</v>
      </c>
      <c r="C69" s="13">
        <f>+C67+C68</f>
        <v>394328</v>
      </c>
      <c r="D69" s="13">
        <f t="shared" ref="D69:F69" si="10">+D67+D68</f>
        <v>365817</v>
      </c>
      <c r="E69" s="13">
        <f t="shared" si="10"/>
        <v>274515</v>
      </c>
      <c r="F69" s="36">
        <f>(C69-D69)/D69</f>
        <v>7.7937876041846058E-2</v>
      </c>
      <c r="G69" s="30">
        <f>(D69-E69)/E69</f>
        <v>0.33259384733074693</v>
      </c>
      <c r="H69" s="28" t="s">
        <v>164</v>
      </c>
      <c r="I69" s="34"/>
    </row>
    <row r="70" spans="2:11" x14ac:dyDescent="0.2">
      <c r="B70" t="s">
        <v>7</v>
      </c>
      <c r="C70" s="12"/>
      <c r="D70" s="12"/>
      <c r="E70" s="12"/>
      <c r="F70" s="35"/>
      <c r="G70" s="26"/>
      <c r="H70" s="28"/>
      <c r="I70" s="34"/>
    </row>
    <row r="71" spans="2:11" x14ac:dyDescent="0.2">
      <c r="B71" s="1" t="s">
        <v>4</v>
      </c>
      <c r="C71" s="12">
        <v>201471</v>
      </c>
      <c r="D71" s="12">
        <v>192266</v>
      </c>
      <c r="E71" s="12">
        <v>151286</v>
      </c>
      <c r="F71" s="35"/>
      <c r="G71" s="26"/>
      <c r="H71" s="28"/>
      <c r="I71" s="34"/>
    </row>
    <row r="72" spans="2:11" x14ac:dyDescent="0.2">
      <c r="B72" s="1" t="s">
        <v>5</v>
      </c>
      <c r="C72" s="12">
        <v>22075</v>
      </c>
      <c r="D72" s="12">
        <v>20715</v>
      </c>
      <c r="E72" s="12">
        <v>18273</v>
      </c>
      <c r="F72" s="35"/>
      <c r="G72" s="26"/>
      <c r="H72" s="28"/>
      <c r="I72" s="34"/>
    </row>
    <row r="73" spans="2:11" x14ac:dyDescent="0.2">
      <c r="B73" s="8" t="s">
        <v>8</v>
      </c>
      <c r="C73" s="13">
        <f>+C71+C72</f>
        <v>223546</v>
      </c>
      <c r="D73" s="13">
        <f t="shared" ref="D73:E73" si="11">+D71+D72</f>
        <v>212981</v>
      </c>
      <c r="E73" s="13">
        <f t="shared" si="11"/>
        <v>169559</v>
      </c>
      <c r="F73" s="35"/>
      <c r="G73" s="26"/>
      <c r="H73" s="28"/>
      <c r="I73" s="37">
        <f>C73/C69</f>
        <v>0.56690369438639909</v>
      </c>
      <c r="J73" s="29">
        <f t="shared" ref="J73:K73" si="12">D73/D69</f>
        <v>0.58220640374832222</v>
      </c>
      <c r="K73" s="29">
        <f t="shared" si="12"/>
        <v>0.61766752272189129</v>
      </c>
    </row>
    <row r="74" spans="2:11" x14ac:dyDescent="0.2">
      <c r="B74" s="8" t="s">
        <v>9</v>
      </c>
      <c r="C74" s="13">
        <f>+C69-C73</f>
        <v>170782</v>
      </c>
      <c r="D74" s="13">
        <f t="shared" ref="D74:E74" si="13">+D69-D73</f>
        <v>152836</v>
      </c>
      <c r="E74" s="13">
        <f t="shared" si="13"/>
        <v>104956</v>
      </c>
      <c r="F74" s="36">
        <f t="shared" ref="F74:G74" si="14">(C74-D74)/D74</f>
        <v>0.11741997958596143</v>
      </c>
      <c r="G74" s="30">
        <f t="shared" si="14"/>
        <v>0.45619116582186819</v>
      </c>
      <c r="H74" s="28" t="s">
        <v>164</v>
      </c>
      <c r="I74" s="37">
        <f>C74/C69</f>
        <v>0.43309630561360085</v>
      </c>
      <c r="J74" s="29">
        <f t="shared" ref="J74:K74" si="15">D74/D69</f>
        <v>0.41779359625167778</v>
      </c>
      <c r="K74" s="29">
        <f t="shared" si="15"/>
        <v>0.38233247727810865</v>
      </c>
    </row>
    <row r="75" spans="2:11" x14ac:dyDescent="0.2">
      <c r="B75" t="s">
        <v>10</v>
      </c>
      <c r="C75" s="12"/>
      <c r="D75" s="12"/>
      <c r="E75" s="12"/>
      <c r="F75" s="35"/>
      <c r="G75" s="26"/>
      <c r="H75" s="28"/>
      <c r="I75" s="35"/>
      <c r="J75" s="26"/>
      <c r="K75" s="26"/>
    </row>
    <row r="76" spans="2:11" x14ac:dyDescent="0.2">
      <c r="B76" s="1" t="s">
        <v>11</v>
      </c>
      <c r="C76" s="12">
        <v>26251</v>
      </c>
      <c r="D76" s="12">
        <v>21914</v>
      </c>
      <c r="E76" s="12">
        <v>18752</v>
      </c>
      <c r="F76" s="35">
        <f t="shared" ref="F76:G78" si="16">(C76-D76)/D76</f>
        <v>0.19791001186456147</v>
      </c>
      <c r="G76" s="26">
        <f t="shared" si="16"/>
        <v>0.16862201365187712</v>
      </c>
      <c r="H76" s="28" t="s">
        <v>164</v>
      </c>
      <c r="I76" s="35">
        <f>C76/C69</f>
        <v>6.657148363798665E-2</v>
      </c>
      <c r="J76" s="26">
        <f t="shared" ref="J76:K76" si="17">D76/D69</f>
        <v>5.9904269074427925E-2</v>
      </c>
      <c r="K76" s="26">
        <f t="shared" si="17"/>
        <v>6.8309564140393061E-2</v>
      </c>
    </row>
    <row r="77" spans="2:11" x14ac:dyDescent="0.2">
      <c r="B77" s="1" t="s">
        <v>12</v>
      </c>
      <c r="C77" s="12">
        <v>25094</v>
      </c>
      <c r="D77" s="12">
        <v>21973</v>
      </c>
      <c r="E77" s="12">
        <v>19916</v>
      </c>
      <c r="F77" s="35">
        <f t="shared" si="16"/>
        <v>0.14203795567287125</v>
      </c>
      <c r="G77" s="26">
        <f t="shared" si="16"/>
        <v>0.10328379192608958</v>
      </c>
      <c r="H77" s="28" t="s">
        <v>164</v>
      </c>
      <c r="I77" s="35">
        <f>C77/C69</f>
        <v>6.3637378020328261E-2</v>
      </c>
      <c r="J77" s="26">
        <f>D77/D69</f>
        <v>6.006555190163388E-2</v>
      </c>
      <c r="K77" s="26">
        <f t="shared" ref="K77" si="18">E77/E69</f>
        <v>7.2549769593646979E-2</v>
      </c>
    </row>
    <row r="78" spans="2:11" x14ac:dyDescent="0.2">
      <c r="B78" s="8" t="s">
        <v>13</v>
      </c>
      <c r="C78" s="13">
        <f>+C76+C77</f>
        <v>51345</v>
      </c>
      <c r="D78" s="13">
        <f t="shared" ref="D78:E78" si="19">+D76+D77</f>
        <v>43887</v>
      </c>
      <c r="E78" s="13">
        <f t="shared" si="19"/>
        <v>38668</v>
      </c>
      <c r="F78" s="36">
        <f t="shared" si="16"/>
        <v>0.16993642764372138</v>
      </c>
      <c r="G78" s="30">
        <f t="shared" si="16"/>
        <v>0.13496948381090307</v>
      </c>
      <c r="H78" s="28" t="s">
        <v>164</v>
      </c>
      <c r="I78" s="35">
        <f>C78/C69</f>
        <v>0.13020886165831491</v>
      </c>
      <c r="J78" s="26">
        <f t="shared" ref="J78:K78" si="20">D78/D69</f>
        <v>0.11996982097606181</v>
      </c>
      <c r="K78" s="26">
        <f t="shared" si="20"/>
        <v>0.14085933373404003</v>
      </c>
    </row>
    <row r="79" spans="2:11" x14ac:dyDescent="0.2">
      <c r="B79" s="8" t="s">
        <v>14</v>
      </c>
      <c r="C79" s="13">
        <f>+C74-C78</f>
        <v>119437</v>
      </c>
      <c r="D79" s="13">
        <f t="shared" ref="D79:E79" si="21">+D74-D78</f>
        <v>108949</v>
      </c>
      <c r="E79" s="13">
        <f t="shared" si="21"/>
        <v>66288</v>
      </c>
      <c r="F79" s="37"/>
      <c r="G79" s="29"/>
      <c r="H79" s="21"/>
      <c r="I79" s="37">
        <f>C79/C69</f>
        <v>0.30288744395528594</v>
      </c>
      <c r="J79" s="29">
        <f t="shared" ref="J79:K79" si="22">D79/D69</f>
        <v>0.29782377527561593</v>
      </c>
      <c r="K79" s="29">
        <f t="shared" si="22"/>
        <v>0.24147314354406862</v>
      </c>
    </row>
    <row r="80" spans="2:11" x14ac:dyDescent="0.2">
      <c r="B80" t="s">
        <v>15</v>
      </c>
      <c r="C80" s="12">
        <v>-334</v>
      </c>
      <c r="D80" s="12">
        <v>258</v>
      </c>
      <c r="E80" s="12">
        <v>803</v>
      </c>
      <c r="F80" s="35"/>
      <c r="G80" s="26"/>
      <c r="H80" s="28"/>
      <c r="I80" s="34"/>
    </row>
    <row r="81" spans="2:11" x14ac:dyDescent="0.2">
      <c r="B81" s="8" t="s">
        <v>16</v>
      </c>
      <c r="C81" s="13">
        <f>+C79+C80</f>
        <v>119103</v>
      </c>
      <c r="D81" s="13">
        <f t="shared" ref="D81:E81" si="23">+D79+D80</f>
        <v>109207</v>
      </c>
      <c r="E81" s="13">
        <f t="shared" si="23"/>
        <v>67091</v>
      </c>
      <c r="F81" s="35"/>
      <c r="G81" s="26"/>
      <c r="H81" s="28"/>
      <c r="I81" s="34"/>
    </row>
    <row r="82" spans="2:11" x14ac:dyDescent="0.2">
      <c r="B82" t="s">
        <v>17</v>
      </c>
      <c r="C82" s="12">
        <v>19300</v>
      </c>
      <c r="D82" s="12">
        <v>14527</v>
      </c>
      <c r="E82" s="12">
        <v>9680</v>
      </c>
      <c r="F82" s="35"/>
      <c r="G82" s="26"/>
      <c r="H82" s="28"/>
      <c r="I82" s="34"/>
    </row>
    <row r="83" spans="2:11" ht="16" thickBot="1" x14ac:dyDescent="0.25">
      <c r="B83" s="9" t="s">
        <v>18</v>
      </c>
      <c r="C83" s="14">
        <f>+C81-C82</f>
        <v>99803</v>
      </c>
      <c r="D83" s="14">
        <f t="shared" ref="D83:E83" si="24">+D81-D82</f>
        <v>94680</v>
      </c>
      <c r="E83" s="14">
        <f t="shared" si="24"/>
        <v>57411</v>
      </c>
      <c r="F83" s="35"/>
      <c r="G83" s="26"/>
      <c r="H83" s="28"/>
      <c r="I83" s="37">
        <f>C83/C69</f>
        <v>0.25309640705199732</v>
      </c>
      <c r="J83" s="29">
        <f t="shared" ref="J83:K83" si="25">D83/D69</f>
        <v>0.25881793355694238</v>
      </c>
      <c r="K83" s="29">
        <f t="shared" si="25"/>
        <v>0.20913611278072236</v>
      </c>
    </row>
    <row r="84" spans="2:11" ht="16" thickTop="1" x14ac:dyDescent="0.2">
      <c r="B84" t="s">
        <v>19</v>
      </c>
      <c r="F84" s="35"/>
      <c r="G84" s="26"/>
      <c r="H84" s="28"/>
      <c r="I84" s="34"/>
    </row>
    <row r="85" spans="2:11" x14ac:dyDescent="0.2">
      <c r="B85" s="1" t="s">
        <v>20</v>
      </c>
      <c r="C85" s="10">
        <v>6.15</v>
      </c>
      <c r="D85" s="10">
        <v>5.67</v>
      </c>
      <c r="E85" s="10">
        <v>3.31</v>
      </c>
      <c r="F85" s="35"/>
      <c r="G85" s="26"/>
      <c r="H85" s="28"/>
      <c r="I85" s="34"/>
    </row>
    <row r="86" spans="2:11" x14ac:dyDescent="0.2">
      <c r="B86" s="1" t="s">
        <v>21</v>
      </c>
      <c r="C86" s="10">
        <v>6.11</v>
      </c>
      <c r="D86" s="10">
        <v>5.61</v>
      </c>
      <c r="E86" s="10">
        <v>3.28</v>
      </c>
      <c r="F86" s="35"/>
      <c r="G86" s="26"/>
      <c r="H86" s="28"/>
      <c r="I86" s="34"/>
    </row>
    <row r="87" spans="2:11" x14ac:dyDescent="0.2">
      <c r="B87" t="s">
        <v>22</v>
      </c>
      <c r="F87" s="35"/>
      <c r="G87" s="26"/>
      <c r="H87" s="28"/>
      <c r="I87" s="34"/>
    </row>
    <row r="88" spans="2:11" x14ac:dyDescent="0.2">
      <c r="B88" s="1" t="s">
        <v>20</v>
      </c>
      <c r="C88" s="2">
        <v>16215963</v>
      </c>
      <c r="D88" s="2">
        <v>16701272</v>
      </c>
      <c r="E88" s="2">
        <v>17352119</v>
      </c>
      <c r="F88" s="35"/>
      <c r="G88" s="26"/>
      <c r="H88" s="28"/>
      <c r="I88" s="34"/>
    </row>
    <row r="89" spans="2:11" x14ac:dyDescent="0.2">
      <c r="B89" s="1" t="s">
        <v>21</v>
      </c>
      <c r="C89" s="2">
        <v>16325819</v>
      </c>
      <c r="D89" s="2">
        <v>16864919</v>
      </c>
      <c r="E89" s="2">
        <v>17528214</v>
      </c>
      <c r="F89" s="35"/>
      <c r="G89" s="26"/>
      <c r="H89" s="28"/>
      <c r="I89" s="34"/>
    </row>
    <row r="90" spans="2:11" x14ac:dyDescent="0.2">
      <c r="F90" s="35"/>
      <c r="G90" s="26"/>
      <c r="H90" s="28"/>
      <c r="I90" s="34"/>
    </row>
    <row r="91" spans="2:11" x14ac:dyDescent="0.2">
      <c r="F91" s="35"/>
      <c r="G91" s="26"/>
      <c r="H91" s="28"/>
      <c r="I91" s="34"/>
    </row>
    <row r="92" spans="2:11" x14ac:dyDescent="0.2">
      <c r="B92" s="25" t="s">
        <v>24</v>
      </c>
      <c r="C92" s="25"/>
      <c r="D92" s="25"/>
      <c r="E92" s="25"/>
      <c r="F92" s="35"/>
      <c r="G92" s="26"/>
      <c r="H92" s="28"/>
      <c r="I92" s="34"/>
    </row>
    <row r="93" spans="2:11" x14ac:dyDescent="0.2">
      <c r="C93" s="24" t="s">
        <v>142</v>
      </c>
      <c r="D93" s="24"/>
      <c r="E93" s="24"/>
      <c r="F93" s="35"/>
      <c r="G93" s="26"/>
      <c r="H93" s="28"/>
      <c r="I93" s="34"/>
    </row>
    <row r="94" spans="2:11" x14ac:dyDescent="0.2">
      <c r="C94" s="7">
        <f>+C65</f>
        <v>2022</v>
      </c>
      <c r="D94" s="7">
        <f t="shared" ref="D94:E94" si="26">+D65</f>
        <v>2021</v>
      </c>
      <c r="E94" s="7">
        <f t="shared" si="26"/>
        <v>2020</v>
      </c>
      <c r="F94" s="35"/>
      <c r="G94" s="26"/>
      <c r="H94" s="28"/>
      <c r="I94" s="34"/>
    </row>
    <row r="95" spans="2:11" x14ac:dyDescent="0.2">
      <c r="F95" s="35"/>
      <c r="G95" s="26"/>
      <c r="H95" s="28"/>
      <c r="I95" s="34"/>
    </row>
    <row r="96" spans="2:11" x14ac:dyDescent="0.2">
      <c r="B96" t="s">
        <v>25</v>
      </c>
      <c r="F96" s="35"/>
      <c r="G96" s="26"/>
      <c r="H96" s="28"/>
      <c r="I96" s="34"/>
    </row>
    <row r="97" spans="2:9" x14ac:dyDescent="0.2">
      <c r="B97" s="1" t="s">
        <v>26</v>
      </c>
      <c r="C97" s="12">
        <v>23646</v>
      </c>
      <c r="D97" s="12">
        <v>34940</v>
      </c>
      <c r="E97" s="12">
        <v>38016</v>
      </c>
      <c r="F97" s="35">
        <f t="shared" ref="F97:G103" si="27">(C97-D97)/D97</f>
        <v>-0.32323983972524328</v>
      </c>
      <c r="G97" s="26">
        <f t="shared" si="27"/>
        <v>-8.0913299663299659E-2</v>
      </c>
      <c r="H97" s="28" t="s">
        <v>164</v>
      </c>
      <c r="I97" s="34"/>
    </row>
    <row r="98" spans="2:9" x14ac:dyDescent="0.2">
      <c r="B98" s="1" t="s">
        <v>27</v>
      </c>
      <c r="C98" s="12">
        <v>24658</v>
      </c>
      <c r="D98" s="12">
        <v>27699</v>
      </c>
      <c r="E98" s="12">
        <v>52927</v>
      </c>
      <c r="F98" s="35">
        <f t="shared" si="27"/>
        <v>-0.10978735694429402</v>
      </c>
      <c r="G98" s="26">
        <f t="shared" si="27"/>
        <v>-0.47665652691442933</v>
      </c>
      <c r="H98" s="28" t="s">
        <v>164</v>
      </c>
      <c r="I98" s="34"/>
    </row>
    <row r="99" spans="2:9" x14ac:dyDescent="0.2">
      <c r="B99" s="1" t="s">
        <v>28</v>
      </c>
      <c r="C99" s="12">
        <v>28184</v>
      </c>
      <c r="D99" s="12">
        <v>26278</v>
      </c>
      <c r="E99" s="12">
        <v>16120</v>
      </c>
      <c r="F99" s="35">
        <f t="shared" si="27"/>
        <v>7.2532156176269125E-2</v>
      </c>
      <c r="G99" s="26">
        <f t="shared" si="27"/>
        <v>0.63014888337468977</v>
      </c>
      <c r="H99" s="28" t="s">
        <v>164</v>
      </c>
      <c r="I99" s="34"/>
    </row>
    <row r="100" spans="2:9" x14ac:dyDescent="0.2">
      <c r="B100" s="1" t="s">
        <v>29</v>
      </c>
      <c r="C100" s="12">
        <v>4946</v>
      </c>
      <c r="D100" s="12">
        <v>6580</v>
      </c>
      <c r="E100" s="12">
        <v>4061</v>
      </c>
      <c r="F100" s="35">
        <f t="shared" si="27"/>
        <v>-0.24832826747720366</v>
      </c>
      <c r="G100" s="26">
        <f t="shared" si="27"/>
        <v>0.62029056882541245</v>
      </c>
      <c r="H100" s="28" t="s">
        <v>164</v>
      </c>
      <c r="I100" s="34"/>
    </row>
    <row r="101" spans="2:9" x14ac:dyDescent="0.2">
      <c r="B101" s="1" t="s">
        <v>47</v>
      </c>
      <c r="C101" s="12">
        <v>32748</v>
      </c>
      <c r="D101" s="12">
        <v>25228</v>
      </c>
      <c r="E101" s="12">
        <v>21325</v>
      </c>
      <c r="F101" s="35">
        <f t="shared" si="27"/>
        <v>0.29808149674964324</v>
      </c>
      <c r="G101" s="26">
        <f t="shared" si="27"/>
        <v>0.18302461899179367</v>
      </c>
      <c r="H101" s="28" t="s">
        <v>164</v>
      </c>
      <c r="I101" s="34"/>
    </row>
    <row r="102" spans="2:9" x14ac:dyDescent="0.2">
      <c r="B102" s="1" t="s">
        <v>30</v>
      </c>
      <c r="C102" s="12">
        <v>21223</v>
      </c>
      <c r="D102" s="12">
        <v>14111</v>
      </c>
      <c r="E102" s="12">
        <v>11264</v>
      </c>
      <c r="F102" s="35">
        <f t="shared" si="27"/>
        <v>0.50400396853518536</v>
      </c>
      <c r="G102" s="26">
        <f t="shared" si="27"/>
        <v>0.25275213068181818</v>
      </c>
      <c r="H102" s="28" t="s">
        <v>164</v>
      </c>
      <c r="I102" s="34"/>
    </row>
    <row r="103" spans="2:9" x14ac:dyDescent="0.2">
      <c r="B103" s="8" t="s">
        <v>31</v>
      </c>
      <c r="C103" s="13">
        <f>+SUM(C97:C102)</f>
        <v>135405</v>
      </c>
      <c r="D103" s="13">
        <f t="shared" ref="D103:E103" si="28">+SUM(D97:D102)</f>
        <v>134836</v>
      </c>
      <c r="E103" s="13">
        <f t="shared" si="28"/>
        <v>143713</v>
      </c>
      <c r="F103" s="36">
        <f t="shared" si="27"/>
        <v>4.2199412619775131E-3</v>
      </c>
      <c r="G103" s="30">
        <f t="shared" si="27"/>
        <v>-6.176894226687913E-2</v>
      </c>
      <c r="H103" s="28" t="s">
        <v>164</v>
      </c>
      <c r="I103" s="34"/>
    </row>
    <row r="104" spans="2:9" x14ac:dyDescent="0.2">
      <c r="B104" t="s">
        <v>48</v>
      </c>
      <c r="C104" s="12"/>
      <c r="D104" s="12"/>
      <c r="E104" s="12"/>
      <c r="F104" s="35"/>
      <c r="G104" s="26"/>
      <c r="H104" s="28"/>
      <c r="I104" s="34"/>
    </row>
    <row r="105" spans="2:9" x14ac:dyDescent="0.2">
      <c r="B105" s="1" t="s">
        <v>27</v>
      </c>
      <c r="C105" s="12">
        <v>120805</v>
      </c>
      <c r="D105" s="12">
        <v>127877</v>
      </c>
      <c r="E105" s="12">
        <v>100887</v>
      </c>
      <c r="F105" s="35">
        <f t="shared" ref="F105:G109" si="29">(C105-D105)/D105</f>
        <v>-5.5303142863845724E-2</v>
      </c>
      <c r="G105" s="26">
        <f t="shared" si="29"/>
        <v>0.26752703519779553</v>
      </c>
      <c r="H105" s="28" t="s">
        <v>164</v>
      </c>
      <c r="I105" s="34"/>
    </row>
    <row r="106" spans="2:9" x14ac:dyDescent="0.2">
      <c r="B106" s="1" t="s">
        <v>32</v>
      </c>
      <c r="C106" s="12">
        <v>42117</v>
      </c>
      <c r="D106" s="12">
        <v>39440</v>
      </c>
      <c r="E106" s="12">
        <v>36766</v>
      </c>
      <c r="F106" s="35">
        <f t="shared" si="29"/>
        <v>6.7875253549695744E-2</v>
      </c>
      <c r="G106" s="26">
        <f t="shared" si="29"/>
        <v>7.2730239895555673E-2</v>
      </c>
      <c r="H106" s="28" t="s">
        <v>164</v>
      </c>
      <c r="I106" s="34"/>
    </row>
    <row r="107" spans="2:9" x14ac:dyDescent="0.2">
      <c r="B107" s="1" t="s">
        <v>49</v>
      </c>
      <c r="C107" s="12">
        <v>54428</v>
      </c>
      <c r="D107" s="12">
        <v>48849</v>
      </c>
      <c r="E107" s="12">
        <v>42522</v>
      </c>
      <c r="F107" s="35">
        <f t="shared" si="29"/>
        <v>0.11420909332842023</v>
      </c>
      <c r="G107" s="26">
        <f t="shared" si="29"/>
        <v>0.1487935656836461</v>
      </c>
      <c r="H107" s="28" t="s">
        <v>164</v>
      </c>
      <c r="I107" s="34"/>
    </row>
    <row r="108" spans="2:9" x14ac:dyDescent="0.2">
      <c r="B108" s="8" t="s">
        <v>50</v>
      </c>
      <c r="C108" s="13">
        <f>+SUM(C105:C107)</f>
        <v>217350</v>
      </c>
      <c r="D108" s="13">
        <f t="shared" ref="D108:E108" si="30">+SUM(D105:D107)</f>
        <v>216166</v>
      </c>
      <c r="E108" s="13">
        <f t="shared" si="30"/>
        <v>180175</v>
      </c>
      <c r="F108" s="36">
        <f t="shared" si="29"/>
        <v>5.4772720964443994E-3</v>
      </c>
      <c r="G108" s="30">
        <f t="shared" si="29"/>
        <v>0.19975579297904814</v>
      </c>
      <c r="H108" s="28" t="s">
        <v>164</v>
      </c>
      <c r="I108" s="34"/>
    </row>
    <row r="109" spans="2:9" ht="16" thickBot="1" x14ac:dyDescent="0.25">
      <c r="B109" s="9" t="s">
        <v>33</v>
      </c>
      <c r="C109" s="14">
        <f>+C103+C108</f>
        <v>352755</v>
      </c>
      <c r="D109" s="14">
        <f t="shared" ref="D109:E109" si="31">+D103+D108</f>
        <v>351002</v>
      </c>
      <c r="E109" s="14">
        <f t="shared" si="31"/>
        <v>323888</v>
      </c>
      <c r="F109" s="38">
        <f t="shared" si="29"/>
        <v>4.9942735369029236E-3</v>
      </c>
      <c r="G109" s="31">
        <f t="shared" si="29"/>
        <v>8.3714123400681711E-2</v>
      </c>
      <c r="H109" s="28" t="s">
        <v>164</v>
      </c>
      <c r="I109" s="34"/>
    </row>
    <row r="110" spans="2:9" ht="16" thickTop="1" x14ac:dyDescent="0.2">
      <c r="F110" s="35"/>
      <c r="G110" s="26"/>
      <c r="H110" s="28"/>
      <c r="I110" s="34"/>
    </row>
    <row r="111" spans="2:9" x14ac:dyDescent="0.2">
      <c r="B111" t="s">
        <v>34</v>
      </c>
      <c r="F111" s="35"/>
      <c r="G111" s="26"/>
      <c r="H111" s="28"/>
      <c r="I111" s="34"/>
    </row>
    <row r="112" spans="2:9" x14ac:dyDescent="0.2">
      <c r="B112" s="1" t="s">
        <v>35</v>
      </c>
      <c r="C112" s="12">
        <v>64115</v>
      </c>
      <c r="D112" s="12">
        <v>54763</v>
      </c>
      <c r="E112" s="12">
        <v>42296</v>
      </c>
      <c r="F112" s="35">
        <f t="shared" ref="F112:G117" si="32">(C112-D112)/D112</f>
        <v>0.17077223672917846</v>
      </c>
      <c r="G112" s="26">
        <f t="shared" si="32"/>
        <v>0.29475600529600909</v>
      </c>
      <c r="H112" s="28" t="s">
        <v>164</v>
      </c>
      <c r="I112" s="34"/>
    </row>
    <row r="113" spans="2:9" x14ac:dyDescent="0.2">
      <c r="B113" s="1" t="s">
        <v>36</v>
      </c>
      <c r="C113" s="12">
        <v>60845</v>
      </c>
      <c r="D113" s="12">
        <v>47493</v>
      </c>
      <c r="E113" s="12">
        <v>42684</v>
      </c>
      <c r="F113" s="35">
        <f t="shared" si="32"/>
        <v>0.28113616743520098</v>
      </c>
      <c r="G113" s="26">
        <f t="shared" si="32"/>
        <v>0.1126651672757942</v>
      </c>
      <c r="H113" s="28" t="s">
        <v>164</v>
      </c>
      <c r="I113" s="34"/>
    </row>
    <row r="114" spans="2:9" x14ac:dyDescent="0.2">
      <c r="B114" s="1" t="s">
        <v>37</v>
      </c>
      <c r="C114" s="12">
        <v>7912</v>
      </c>
      <c r="D114" s="12">
        <v>7612</v>
      </c>
      <c r="E114" s="12">
        <v>6643</v>
      </c>
      <c r="F114" s="35">
        <f t="shared" si="32"/>
        <v>3.9411455596426698E-2</v>
      </c>
      <c r="G114" s="26">
        <f t="shared" si="32"/>
        <v>0.14586783079933766</v>
      </c>
      <c r="H114" s="28" t="s">
        <v>164</v>
      </c>
      <c r="I114" s="34"/>
    </row>
    <row r="115" spans="2:9" x14ac:dyDescent="0.2">
      <c r="B115" s="1" t="s">
        <v>38</v>
      </c>
      <c r="C115" s="12">
        <v>9982</v>
      </c>
      <c r="D115" s="12">
        <v>6000</v>
      </c>
      <c r="E115" s="12">
        <v>4996</v>
      </c>
      <c r="F115" s="35">
        <f t="shared" si="32"/>
        <v>0.66366666666666663</v>
      </c>
      <c r="G115" s="26">
        <f t="shared" si="32"/>
        <v>0.20096076861489193</v>
      </c>
      <c r="H115" s="28" t="s">
        <v>164</v>
      </c>
      <c r="I115" s="34"/>
    </row>
    <row r="116" spans="2:9" x14ac:dyDescent="0.2">
      <c r="B116" s="1" t="s">
        <v>39</v>
      </c>
      <c r="C116" s="12">
        <v>11128</v>
      </c>
      <c r="D116" s="12">
        <v>9613</v>
      </c>
      <c r="E116" s="12">
        <v>8773</v>
      </c>
      <c r="F116" s="35">
        <f t="shared" si="32"/>
        <v>0.15759908457297409</v>
      </c>
      <c r="G116" s="26">
        <f t="shared" si="32"/>
        <v>9.5748318705117977E-2</v>
      </c>
      <c r="H116" s="28" t="s">
        <v>164</v>
      </c>
      <c r="I116" s="34"/>
    </row>
    <row r="117" spans="2:9" x14ac:dyDescent="0.2">
      <c r="B117" s="8" t="s">
        <v>40</v>
      </c>
      <c r="C117" s="13">
        <f>+SUM(C112:C116)</f>
        <v>153982</v>
      </c>
      <c r="D117" s="13">
        <f t="shared" ref="D117:E117" si="33">+SUM(D112:D116)</f>
        <v>125481</v>
      </c>
      <c r="E117" s="13">
        <f t="shared" si="33"/>
        <v>105392</v>
      </c>
      <c r="F117" s="36">
        <f t="shared" si="32"/>
        <v>0.22713398841258836</v>
      </c>
      <c r="G117" s="30">
        <f t="shared" si="32"/>
        <v>0.19061219067860938</v>
      </c>
      <c r="H117" s="28" t="s">
        <v>164</v>
      </c>
      <c r="I117" s="34"/>
    </row>
    <row r="118" spans="2:9" x14ac:dyDescent="0.2">
      <c r="B118" t="s">
        <v>51</v>
      </c>
      <c r="C118" s="12"/>
      <c r="D118" s="12"/>
      <c r="E118" s="12"/>
      <c r="F118" s="35"/>
      <c r="G118" s="26"/>
      <c r="H118" s="28"/>
      <c r="I118" s="34"/>
    </row>
    <row r="119" spans="2:9" x14ac:dyDescent="0.2">
      <c r="B119" s="1" t="s">
        <v>37</v>
      </c>
      <c r="C119" s="12"/>
      <c r="D119" s="12"/>
      <c r="E119" s="12"/>
      <c r="F119" s="35"/>
      <c r="G119" s="26"/>
      <c r="H119" s="28"/>
      <c r="I119" s="34"/>
    </row>
    <row r="120" spans="2:9" x14ac:dyDescent="0.2">
      <c r="B120" s="1" t="s">
        <v>39</v>
      </c>
      <c r="C120" s="12">
        <v>98959</v>
      </c>
      <c r="D120" s="12">
        <v>109106</v>
      </c>
      <c r="E120" s="12">
        <v>98667</v>
      </c>
      <c r="F120" s="35">
        <f t="shared" ref="F120:G123" si="34">(C120-D120)/D120</f>
        <v>-9.3001301486627677E-2</v>
      </c>
      <c r="G120" s="26">
        <f t="shared" si="34"/>
        <v>0.1058003182421681</v>
      </c>
      <c r="H120" s="28" t="s">
        <v>164</v>
      </c>
      <c r="I120" s="34"/>
    </row>
    <row r="121" spans="2:9" x14ac:dyDescent="0.2">
      <c r="B121" s="1" t="s">
        <v>52</v>
      </c>
      <c r="C121" s="12">
        <v>49142</v>
      </c>
      <c r="D121" s="12">
        <v>53325</v>
      </c>
      <c r="E121" s="12">
        <v>54490</v>
      </c>
      <c r="F121" s="35">
        <f t="shared" si="34"/>
        <v>-7.8443506797937171E-2</v>
      </c>
      <c r="G121" s="26">
        <f t="shared" si="34"/>
        <v>-2.1380069737566527E-2</v>
      </c>
      <c r="H121" s="28" t="s">
        <v>164</v>
      </c>
      <c r="I121" s="34"/>
    </row>
    <row r="122" spans="2:9" x14ac:dyDescent="0.2">
      <c r="B122" s="23" t="s">
        <v>53</v>
      </c>
      <c r="C122" s="22">
        <f>+C120+C121</f>
        <v>148101</v>
      </c>
      <c r="D122" s="22">
        <f t="shared" ref="D122:E122" si="35">+D120+D121</f>
        <v>162431</v>
      </c>
      <c r="E122" s="22">
        <f t="shared" si="35"/>
        <v>153157</v>
      </c>
      <c r="F122" s="36">
        <f t="shared" si="34"/>
        <v>-8.8222075835277747E-2</v>
      </c>
      <c r="G122" s="30">
        <f t="shared" si="34"/>
        <v>6.0552243775994566E-2</v>
      </c>
      <c r="H122" s="28" t="s">
        <v>164</v>
      </c>
      <c r="I122" s="34"/>
    </row>
    <row r="123" spans="2:9" x14ac:dyDescent="0.2">
      <c r="B123" s="8" t="s">
        <v>41</v>
      </c>
      <c r="C123" s="13">
        <f>+C117+C122</f>
        <v>302083</v>
      </c>
      <c r="D123" s="13">
        <f t="shared" ref="D123:E123" si="36">+D117+D122</f>
        <v>287912</v>
      </c>
      <c r="E123" s="13">
        <f t="shared" si="36"/>
        <v>258549</v>
      </c>
      <c r="F123" s="36">
        <f t="shared" si="34"/>
        <v>4.9219900525160468E-2</v>
      </c>
      <c r="G123" s="30">
        <f t="shared" si="34"/>
        <v>0.11356841449783213</v>
      </c>
      <c r="H123" s="28" t="s">
        <v>164</v>
      </c>
      <c r="I123" s="34"/>
    </row>
    <row r="124" spans="2:9" x14ac:dyDescent="0.2">
      <c r="C124" s="12"/>
      <c r="D124" s="12"/>
      <c r="E124" s="12"/>
      <c r="F124" s="35"/>
      <c r="G124" s="26"/>
      <c r="H124" s="28"/>
      <c r="I124" s="34"/>
    </row>
    <row r="125" spans="2:9" x14ac:dyDescent="0.2">
      <c r="B125" t="s">
        <v>42</v>
      </c>
      <c r="C125" s="12"/>
      <c r="D125" s="12"/>
      <c r="E125" s="12"/>
      <c r="F125" s="35"/>
      <c r="G125" s="26"/>
      <c r="H125" s="28"/>
      <c r="I125" s="34"/>
    </row>
    <row r="126" spans="2:9" x14ac:dyDescent="0.2">
      <c r="B126" s="1" t="s">
        <v>54</v>
      </c>
      <c r="C126" s="12">
        <v>64849</v>
      </c>
      <c r="D126" s="12">
        <v>57365</v>
      </c>
      <c r="E126" s="12">
        <v>50779</v>
      </c>
      <c r="F126" s="35">
        <f t="shared" ref="F126:G130" si="37">(C126-D126)/D126</f>
        <v>0.1304628257648392</v>
      </c>
      <c r="G126" s="26">
        <f t="shared" si="37"/>
        <v>0.12969928513755685</v>
      </c>
      <c r="H126" s="28" t="s">
        <v>164</v>
      </c>
      <c r="I126" s="34"/>
    </row>
    <row r="127" spans="2:9" x14ac:dyDescent="0.2">
      <c r="B127" s="1" t="s">
        <v>43</v>
      </c>
      <c r="C127" s="12">
        <v>-3068</v>
      </c>
      <c r="D127" s="12">
        <v>5562</v>
      </c>
      <c r="E127" s="12">
        <v>14966</v>
      </c>
      <c r="F127" s="35">
        <f t="shared" si="37"/>
        <v>-1.5516001438331535</v>
      </c>
      <c r="G127" s="26">
        <f t="shared" si="37"/>
        <v>-0.62835761058399042</v>
      </c>
      <c r="H127" s="28" t="s">
        <v>164</v>
      </c>
      <c r="I127" s="34"/>
    </row>
    <row r="128" spans="2:9" x14ac:dyDescent="0.2">
      <c r="B128" s="1" t="s">
        <v>44</v>
      </c>
      <c r="C128" s="12">
        <v>-11109</v>
      </c>
      <c r="D128" s="12">
        <v>163</v>
      </c>
      <c r="E128" s="12">
        <v>-406</v>
      </c>
      <c r="F128" s="35">
        <f t="shared" si="37"/>
        <v>-69.153374233128829</v>
      </c>
      <c r="G128" s="26">
        <f t="shared" si="37"/>
        <v>-1.4014778325123152</v>
      </c>
      <c r="H128" s="28" t="s">
        <v>164</v>
      </c>
      <c r="I128" s="34"/>
    </row>
    <row r="129" spans="2:9" x14ac:dyDescent="0.2">
      <c r="B129" s="8" t="s">
        <v>45</v>
      </c>
      <c r="C129" s="13">
        <f>+SUM(C126:C128)</f>
        <v>50672</v>
      </c>
      <c r="D129" s="13">
        <f t="shared" ref="D129:E129" si="38">+SUM(D126:D128)</f>
        <v>63090</v>
      </c>
      <c r="E129" s="13">
        <f t="shared" si="38"/>
        <v>65339</v>
      </c>
      <c r="F129" s="36">
        <f t="shared" si="37"/>
        <v>-0.19682992550324932</v>
      </c>
      <c r="G129" s="30">
        <f t="shared" si="37"/>
        <v>-3.4420483937617659E-2</v>
      </c>
      <c r="H129" s="28" t="s">
        <v>164</v>
      </c>
      <c r="I129" s="34"/>
    </row>
    <row r="130" spans="2:9" ht="16" thickBot="1" x14ac:dyDescent="0.25">
      <c r="B130" s="9" t="s">
        <v>46</v>
      </c>
      <c r="C130" s="14">
        <f>+C129+C123</f>
        <v>352755</v>
      </c>
      <c r="D130" s="14">
        <f t="shared" ref="D130:E130" si="39">+D129+D123</f>
        <v>351002</v>
      </c>
      <c r="E130" s="14">
        <f t="shared" si="39"/>
        <v>323888</v>
      </c>
      <c r="F130" s="38">
        <f>(C130-D130)/D130</f>
        <v>4.9942735369029236E-3</v>
      </c>
      <c r="G130" s="31">
        <f t="shared" si="37"/>
        <v>8.3714123400681711E-2</v>
      </c>
      <c r="H130" s="28" t="s">
        <v>164</v>
      </c>
      <c r="I130" s="34"/>
    </row>
    <row r="131" spans="2:9" ht="16" thickTop="1" x14ac:dyDescent="0.2"/>
  </sheetData>
  <mergeCells count="6">
    <mergeCell ref="C93:E93"/>
    <mergeCell ref="C2:E2"/>
    <mergeCell ref="C64:E64"/>
    <mergeCell ref="F64:H64"/>
    <mergeCell ref="I64:K64"/>
    <mergeCell ref="B92:E9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Valleesan, Krishna</cp:lastModifiedBy>
  <dcterms:created xsi:type="dcterms:W3CDTF">2020-05-18T16:32:37Z</dcterms:created>
  <dcterms:modified xsi:type="dcterms:W3CDTF">2024-07-24T17:41:40Z</dcterms:modified>
</cp:coreProperties>
</file>