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CP\"/>
    </mc:Choice>
  </mc:AlternateContent>
  <xr:revisionPtr revIDLastSave="0" documentId="13_ncr:1_{CFFCD10A-412D-4DBF-8D8C-089BC9C7F0E8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Instructions" sheetId="1" r:id="rId1"/>
    <sheet name="Financial Statements" sheetId="2" r:id="rId2"/>
    <sheet name="List of Ratios" sheetId="3" r:id="rId3"/>
    <sheet name="Liquidity" sheetId="4" r:id="rId4"/>
    <sheet name="Profitability" sheetId="5" r:id="rId5"/>
    <sheet name="Solvency or debt management" sheetId="6" r:id="rId6"/>
    <sheet name="Asset utilizatio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E22" i="3"/>
  <c r="C22" i="3"/>
  <c r="D20" i="3"/>
  <c r="E20" i="3"/>
  <c r="C20" i="3"/>
  <c r="D18" i="3"/>
  <c r="E18" i="3"/>
  <c r="C18" i="3"/>
  <c r="D17" i="3"/>
  <c r="E17" i="3"/>
  <c r="C17" i="3"/>
  <c r="E51" i="3"/>
  <c r="D51" i="3"/>
  <c r="C51" i="3"/>
  <c r="D49" i="3"/>
  <c r="E49" i="3"/>
  <c r="C49" i="3"/>
  <c r="D48" i="3"/>
  <c r="E48" i="3"/>
  <c r="C48" i="3"/>
  <c r="D47" i="3"/>
  <c r="E47" i="3"/>
  <c r="C47" i="3"/>
  <c r="D43" i="3"/>
  <c r="E43" i="3"/>
  <c r="C43" i="3"/>
  <c r="D42" i="3"/>
  <c r="E42" i="3"/>
  <c r="C42" i="3"/>
  <c r="D41" i="3"/>
  <c r="E41" i="3"/>
  <c r="C41" i="3"/>
  <c r="E40" i="3"/>
  <c r="D40" i="3"/>
  <c r="C40" i="3"/>
  <c r="D37" i="3"/>
  <c r="E37" i="3"/>
  <c r="C37" i="3"/>
  <c r="D36" i="3"/>
  <c r="E36" i="3"/>
  <c r="C36" i="3"/>
  <c r="D35" i="3"/>
  <c r="E35" i="3"/>
  <c r="C35" i="3"/>
  <c r="D34" i="3"/>
  <c r="E34" i="3"/>
  <c r="C34" i="3"/>
  <c r="D30" i="3"/>
  <c r="E30" i="3"/>
  <c r="C30" i="3"/>
  <c r="D31" i="3"/>
  <c r="E31" i="3"/>
  <c r="C31" i="3"/>
  <c r="D29" i="3"/>
  <c r="E29" i="3"/>
  <c r="C29" i="3"/>
  <c r="E28" i="3" l="1"/>
  <c r="D28" i="3"/>
  <c r="C28" i="3"/>
  <c r="D27" i="3"/>
  <c r="E27" i="3"/>
  <c r="C27" i="3"/>
  <c r="D26" i="3"/>
  <c r="E26" i="3"/>
  <c r="C26" i="3"/>
  <c r="D25" i="3"/>
  <c r="E25" i="3"/>
  <c r="C25" i="3"/>
  <c r="D21" i="3"/>
  <c r="E21" i="3"/>
  <c r="C21" i="3"/>
  <c r="D19" i="3"/>
  <c r="E19" i="3"/>
  <c r="C19" i="3"/>
  <c r="D14" i="3"/>
  <c r="E14" i="3"/>
  <c r="C14" i="3"/>
  <c r="D13" i="3"/>
  <c r="E13" i="3"/>
  <c r="C13" i="3"/>
  <c r="D12" i="3"/>
  <c r="E12" i="3"/>
  <c r="C12" i="3"/>
  <c r="D11" i="3"/>
  <c r="E11" i="3"/>
  <c r="C11" i="3"/>
  <c r="D10" i="3" l="1"/>
  <c r="E10" i="3"/>
  <c r="C10" i="3"/>
  <c r="D9" i="3"/>
  <c r="E9" i="3"/>
  <c r="C9" i="3"/>
  <c r="D8" i="3"/>
  <c r="E8" i="3"/>
  <c r="C8" i="3"/>
  <c r="D7" i="3"/>
  <c r="E7" i="3"/>
  <c r="C7" i="3"/>
  <c r="D5" i="3"/>
  <c r="E5" i="3"/>
  <c r="C5" i="3"/>
  <c r="D6" i="3"/>
  <c r="E6" i="3"/>
  <c r="C6" i="3"/>
  <c r="B67" i="2" l="1"/>
  <c r="B66" i="2"/>
  <c r="B55" i="2"/>
  <c r="B51" i="2"/>
  <c r="B40" i="2"/>
  <c r="B45" i="2" s="1"/>
  <c r="B24" i="2"/>
  <c r="B20" i="2"/>
  <c r="B15" i="2"/>
  <c r="B7" i="2"/>
  <c r="B16" i="2" s="1"/>
  <c r="B99" i="2"/>
  <c r="C99" i="2"/>
  <c r="B86" i="2"/>
  <c r="B93" i="2"/>
  <c r="C93" i="2"/>
  <c r="C86" i="2"/>
  <c r="C66" i="2"/>
  <c r="C51" i="2"/>
  <c r="C55" i="2" s="1"/>
  <c r="C40" i="2"/>
  <c r="C45" i="2" s="1"/>
  <c r="D40" i="2"/>
  <c r="D45" i="2" s="1"/>
  <c r="C24" i="2"/>
  <c r="C20" i="2"/>
  <c r="C15" i="2"/>
  <c r="C7" i="2"/>
  <c r="D99" i="2"/>
  <c r="D93" i="2"/>
  <c r="D86" i="2"/>
  <c r="D20" i="2"/>
  <c r="D15" i="2"/>
  <c r="D7" i="2"/>
  <c r="D16" i="2" s="1"/>
  <c r="D66" i="2"/>
  <c r="D51" i="2"/>
  <c r="D55" i="2" s="1"/>
  <c r="A47" i="3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C67" i="2" l="1"/>
  <c r="D21" i="2"/>
  <c r="D24" i="2" s="1"/>
  <c r="D67" i="2"/>
  <c r="C16" i="2"/>
  <c r="A33" i="3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<sst xmlns="http://schemas.openxmlformats.org/spreadsheetml/2006/main" count="213" uniqueCount="163">
  <si>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</si>
  <si>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</si>
  <si>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</si>
  <si>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</si>
  <si>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</si>
  <si>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</si>
  <si>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</si>
  <si>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</si>
  <si>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</si>
  <si>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</si>
  <si>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</si>
  <si>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</si>
  <si>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</si>
  <si>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</si>
  <si>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</si>
  <si>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</si>
  <si>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</si>
  <si>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</si>
  <si>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</si>
  <si>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</si>
  <si>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</si>
  <si>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</si>
  <si>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</si>
  <si>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</si>
  <si>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</si>
  <si>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</si>
  <si>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</si>
  <si>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</si>
  <si>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</si>
  <si>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</si>
  <si>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</si>
  <si>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</si>
  <si>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</si>
  <si>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</si>
  <si>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</si>
  <si>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</si>
  <si>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</si>
  <si>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</si>
  <si>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</si>
  <si>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</si>
  <si>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</si>
  <si>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</si>
  <si>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</si>
  <si>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</si>
  <si>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</si>
  <si>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</si>
  <si>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</si>
  <si>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</si>
  <si>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</si>
  <si>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</si>
  <si>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</si>
  <si>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</si>
  <si>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</si>
  <si>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</si>
  <si>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</si>
  <si>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</si>
  <si>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Years ended </t>
  </si>
  <si>
    <t xml:space="preserve">As at 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</si>
  <si>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</si>
  <si>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</si>
  <si>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</si>
  <si>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</si>
  <si>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ASSETS</t>
  </si>
  <si>
    <t>Current assets:</t>
  </si>
  <si>
    <t>Cash and cash equivalents</t>
  </si>
  <si>
    <t>Marketable securities</t>
  </si>
  <si>
    <t>Inventories</t>
  </si>
  <si>
    <t>Accounts receivable, net and other</t>
  </si>
  <si>
    <t>Total current assets</t>
  </si>
  <si>
    <t>Property and equipment, net</t>
  </si>
  <si>
    <t>Goodwill</t>
  </si>
  <si>
    <t>Other assets</t>
  </si>
  <si>
    <t>Total assets</t>
  </si>
  <si>
    <t>Current liabilities:</t>
  </si>
  <si>
    <t>Accounts payable</t>
  </si>
  <si>
    <t>Accrued expenses and other</t>
  </si>
  <si>
    <t>Unearned revenue</t>
  </si>
  <si>
    <t>Total current liabilities</t>
  </si>
  <si>
    <t>LIABILITIES AND STOCKHOLDERS’ EQUITY</t>
  </si>
  <si>
    <t>Long-term debt</t>
  </si>
  <si>
    <t>Other long-term liabilities
Commitments and contingencies (Note 7)</t>
  </si>
  <si>
    <t>Stockholders’ equity:</t>
  </si>
  <si>
    <t>-</t>
  </si>
  <si>
    <t xml:space="preserve">Preferred stock, $0.01 par value:                                                                           </t>
  </si>
  <si>
    <t>Common stock, $0.01 par value:</t>
  </si>
  <si>
    <t>Authorized shares — 5,000</t>
  </si>
  <si>
    <t>Issued shares — 500 and 507</t>
  </si>
  <si>
    <t>Outstanding shares — 477 and 484</t>
  </si>
  <si>
    <t>Treasury stock, at cost</t>
  </si>
  <si>
    <t>Additional paid-in capital</t>
  </si>
  <si>
    <t>Accumulated other comprehensive loss</t>
  </si>
  <si>
    <t>Retained earnings</t>
  </si>
  <si>
    <t>Total stockholders’ equity</t>
  </si>
  <si>
    <t>Total liabilities and stockholders’ equity</t>
  </si>
  <si>
    <t>Net product sales</t>
  </si>
  <si>
    <t>Net service sales</t>
  </si>
  <si>
    <t>Total Net Sales</t>
  </si>
  <si>
    <t>Operating Expenses:</t>
  </si>
  <si>
    <t>Cost of sales</t>
  </si>
  <si>
    <t>Fulfillment</t>
  </si>
  <si>
    <t>Marketing</t>
  </si>
  <si>
    <t>Technology and content</t>
  </si>
  <si>
    <t>General and administrative</t>
  </si>
  <si>
    <t>Other operating expense, net</t>
  </si>
  <si>
    <t>Total operating expenses</t>
  </si>
  <si>
    <t>Operating income</t>
  </si>
  <si>
    <t>Interest income</t>
  </si>
  <si>
    <t>Interest expense</t>
  </si>
  <si>
    <t>Other income (expense), net</t>
  </si>
  <si>
    <t>Total non-operating income (expense)</t>
  </si>
  <si>
    <t>Income before income taxes</t>
  </si>
  <si>
    <t>Provision for income taxes</t>
  </si>
  <si>
    <t>Equity-method investment activity, net of tax</t>
  </si>
  <si>
    <r>
      <rPr>
        <b/>
        <sz val="10"/>
        <rFont val="Times New Roman"/>
        <family val="1"/>
      </rPr>
      <t>Net income</t>
    </r>
  </si>
  <si>
    <t>Basic earnings per share</t>
  </si>
  <si>
    <t>Diluted earnings per share</t>
  </si>
  <si>
    <t>Weighted-average shares used in computation of earnings per share:</t>
  </si>
  <si>
    <r>
      <rPr>
        <sz val="10"/>
        <rFont val="Times New Roman"/>
        <family val="1"/>
      </rPr>
      <t>Basic</t>
    </r>
  </si>
  <si>
    <r>
      <rPr>
        <sz val="10"/>
        <rFont val="Times New Roman"/>
        <family val="1"/>
      </rPr>
      <t>Diluted</t>
    </r>
  </si>
  <si>
    <r>
      <rPr>
        <sz val="9"/>
        <rFont val="Times New Roman"/>
        <family val="1"/>
      </rPr>
      <t>Net income</t>
    </r>
  </si>
  <si>
    <r>
      <rPr>
        <sz val="9"/>
        <rFont val="Times New Roman"/>
        <family val="1"/>
      </rPr>
      <t>Adjustments to reconcile net income to net cash from operating activities:</t>
    </r>
  </si>
  <si>
    <r>
      <rPr>
        <sz val="9"/>
        <rFont val="Times New Roman"/>
        <family val="1"/>
      </rPr>
      <t>Stock-based compensation</t>
    </r>
  </si>
  <si>
    <r>
      <rPr>
        <sz val="9"/>
        <rFont val="Times New Roman"/>
        <family val="1"/>
      </rPr>
      <t>Other operating expense, net</t>
    </r>
  </si>
  <si>
    <r>
      <rPr>
        <sz val="9"/>
        <rFont val="Times New Roman"/>
        <family val="1"/>
      </rPr>
      <t>Other expense (income), net</t>
    </r>
  </si>
  <si>
    <r>
      <rPr>
        <sz val="9"/>
        <rFont val="Times New Roman"/>
        <family val="1"/>
      </rPr>
      <t>Deferred income taxes</t>
    </r>
  </si>
  <si>
    <r>
      <rPr>
        <sz val="9"/>
        <rFont val="Times New Roman"/>
        <family val="1"/>
      </rPr>
      <t>Inventories</t>
    </r>
  </si>
  <si>
    <r>
      <rPr>
        <sz val="9"/>
        <rFont val="Times New Roman"/>
        <family val="1"/>
      </rPr>
      <t>Accounts receivable, net and other</t>
    </r>
  </si>
  <si>
    <r>
      <rPr>
        <sz val="9"/>
        <rFont val="Times New Roman"/>
        <family val="1"/>
      </rPr>
      <t>Accounts payable</t>
    </r>
  </si>
  <si>
    <r>
      <rPr>
        <sz val="9"/>
        <rFont val="Times New Roman"/>
        <family val="1"/>
      </rPr>
      <t>Accrued expenses and other</t>
    </r>
  </si>
  <si>
    <r>
      <rPr>
        <sz val="9"/>
        <rFont val="Times New Roman"/>
        <family val="1"/>
      </rPr>
      <t>Unearned revenue</t>
    </r>
  </si>
  <si>
    <t>Changes in operating assets and liabilities:</t>
  </si>
  <si>
    <r>
      <rPr>
        <b/>
        <sz val="9"/>
        <rFont val="Times New Roman"/>
        <family val="1"/>
      </rPr>
      <t>CASH AND CASH EQUIVALENTS, BEGINNING OF PERIOD
OPERATING ACTIVITIES:</t>
    </r>
  </si>
  <si>
    <t>INVESTING ACTIVITIES:</t>
  </si>
  <si>
    <t>Purchases of property and equipment, including internal-use software and website development</t>
  </si>
  <si>
    <r>
      <rPr>
        <sz val="9"/>
        <rFont val="Times New Roman"/>
        <family val="1"/>
      </rPr>
      <t>Proceeds from property and equipment incentives</t>
    </r>
  </si>
  <si>
    <r>
      <rPr>
        <sz val="9"/>
        <rFont val="Times New Roman"/>
        <family val="1"/>
      </rPr>
      <t>Acquisitions, net of cash acquired, and other</t>
    </r>
  </si>
  <si>
    <r>
      <rPr>
        <sz val="9"/>
        <rFont val="Times New Roman"/>
        <family val="1"/>
      </rPr>
      <t>Sales and maturities of marketable securities</t>
    </r>
  </si>
  <si>
    <r>
      <rPr>
        <sz val="9"/>
        <rFont val="Times New Roman"/>
        <family val="1"/>
      </rPr>
      <t>Purchases of marketable securities</t>
    </r>
  </si>
  <si>
    <r>
      <rPr>
        <sz val="9"/>
        <rFont val="Times New Roman"/>
        <family val="1"/>
      </rPr>
      <t>Net cash provided by (used in) investing activities</t>
    </r>
  </si>
  <si>
    <t>FINANCING ACTIVITIES:</t>
  </si>
  <si>
    <r>
      <rPr>
        <sz val="9"/>
        <rFont val="Times New Roman"/>
        <family val="1"/>
      </rPr>
      <t>Proceeds from long-term debt and other</t>
    </r>
  </si>
  <si>
    <r>
      <rPr>
        <sz val="9"/>
        <rFont val="Times New Roman"/>
        <family val="1"/>
      </rPr>
      <t>Repayments of long-term debt and other</t>
    </r>
  </si>
  <si>
    <r>
      <rPr>
        <sz val="9"/>
        <rFont val="Times New Roman"/>
        <family val="1"/>
      </rPr>
      <t>Principal repayments of capital lease obligations</t>
    </r>
  </si>
  <si>
    <r>
      <rPr>
        <sz val="9"/>
        <rFont val="Times New Roman"/>
        <family val="1"/>
      </rPr>
      <t>Principal repayments of finance lease obligations</t>
    </r>
  </si>
  <si>
    <r>
      <rPr>
        <sz val="9"/>
        <rFont val="Times New Roman"/>
        <family val="1"/>
      </rPr>
      <t>Net cash provided by (used in) financing activities</t>
    </r>
  </si>
  <si>
    <r>
      <rPr>
        <sz val="9"/>
        <rFont val="Times New Roman"/>
        <family val="1"/>
      </rPr>
      <t>Foreign currency effect on cash and cash equivalents</t>
    </r>
  </si>
  <si>
    <r>
      <rPr>
        <sz val="9"/>
        <rFont val="Times New Roman"/>
        <family val="1"/>
      </rPr>
      <t>Net increase (decrease) in cash and cash equivalents</t>
    </r>
  </si>
  <si>
    <r>
      <rPr>
        <sz val="9"/>
        <rFont val="Times New Roman"/>
        <family val="1"/>
      </rPr>
      <t>CASH AND CASH EQUIVALENTS, END OF PERIOD</t>
    </r>
  </si>
  <si>
    <r>
      <rPr>
        <sz val="9"/>
        <rFont val="Times New Roman"/>
        <family val="1"/>
      </rPr>
      <t>SUPPLEMENTAL CASH FLOW INFORMATION:</t>
    </r>
  </si>
  <si>
    <r>
      <rPr>
        <sz val="9"/>
        <rFont val="Times New Roman"/>
        <family val="1"/>
      </rPr>
      <t>Cash paid for interest on long-term debt</t>
    </r>
  </si>
  <si>
    <r>
      <rPr>
        <sz val="9"/>
        <rFont val="Times New Roman"/>
        <family val="1"/>
      </rPr>
      <t>Cash paid for interest on capital and finance lease obligations</t>
    </r>
  </si>
  <si>
    <r>
      <rPr>
        <sz val="9"/>
        <rFont val="Times New Roman"/>
        <family val="1"/>
      </rPr>
      <t>Cash paid for income taxes, net of refunds</t>
    </r>
  </si>
  <si>
    <r>
      <rPr>
        <sz val="9"/>
        <rFont val="Times New Roman"/>
        <family val="1"/>
      </rPr>
      <t>Property and equipment acquired under capital leases</t>
    </r>
  </si>
  <si>
    <r>
      <rPr>
        <sz val="9"/>
        <rFont val="Times New Roman"/>
        <family val="1"/>
      </rPr>
      <t>Property and equipment acquired under build-to-suit leases</t>
    </r>
  </si>
  <si>
    <t>Amazon</t>
  </si>
  <si>
    <r>
      <rPr>
        <sz val="9"/>
        <rFont val="Calibri"/>
        <family val="2"/>
        <scheme val="minor"/>
      </rPr>
      <t>Depreciation of property and equipment, including internal-use software and</t>
    </r>
    <r>
      <rPr>
        <sz val="11"/>
        <color theme="1"/>
        <rFont val="Calibri"/>
        <family val="2"/>
        <scheme val="minor"/>
      </rPr>
      <t xml:space="preserve"> website development, and other amortization, including capitalized content costs</t>
    </r>
  </si>
  <si>
    <t>Cash paid for operating leases</t>
  </si>
  <si>
    <t>Cash paid for interest on finance leases</t>
  </si>
  <si>
    <t>Operating leases</t>
  </si>
  <si>
    <t>Long-term lease liabilities</t>
  </si>
  <si>
    <t>Total Liabilities</t>
  </si>
  <si>
    <t>Net cash provided by (used in) operating activities</t>
  </si>
  <si>
    <t>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</si>
</sst>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_);\(0\)"/>
    <numFmt numFmtId="168" formatCode="#,##0_);\(#,##0\)"/>
    <numFmt numFmtId="169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9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top" wrapText="1" indent="3"/>
    </xf>
    <xf numFmtId="3" fontId="9" fillId="0" borderId="0" xfId="0" applyNumberFormat="1" applyFont="1" applyAlignment="1">
      <alignment horizontal="right" vertical="top" shrinkToFit="1"/>
    </xf>
    <xf numFmtId="3" fontId="9" fillId="0" borderId="3" xfId="0" applyNumberFormat="1" applyFont="1" applyBorder="1" applyAlignment="1">
      <alignment horizontal="right" vertical="top" shrinkToFit="1"/>
    </xf>
    <xf numFmtId="3" fontId="9" fillId="0" borderId="4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indent="1"/>
    </xf>
    <xf numFmtId="0" fontId="11" fillId="0" borderId="0" xfId="0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0" fontId="2" fillId="0" borderId="2" xfId="0" applyFont="1" applyBorder="1" applyAlignment="1">
      <alignment horizontal="left" indent="4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>
      <alignment horizontal="left" indent="6"/>
    </xf>
    <xf numFmtId="0" fontId="2" fillId="0" borderId="1" xfId="0" applyFont="1" applyBorder="1" applyAlignment="1">
      <alignment horizontal="left" indent="7"/>
    </xf>
    <xf numFmtId="167" fontId="9" fillId="0" borderId="3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center" indent="8"/>
    </xf>
    <xf numFmtId="0" fontId="10" fillId="0" borderId="0" xfId="0" applyFont="1" applyAlignment="1">
      <alignment horizontal="left" vertical="top" wrapText="1"/>
    </xf>
    <xf numFmtId="1" fontId="9" fillId="4" borderId="3" xfId="0" applyNumberFormat="1" applyFont="1" applyFill="1" applyBorder="1" applyAlignment="1">
      <alignment horizontal="right" vertical="top" shrinkToFit="1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indent="3"/>
    </xf>
    <xf numFmtId="0" fontId="12" fillId="0" borderId="0" xfId="0" applyFont="1" applyAlignment="1">
      <alignment horizontal="left" vertical="top" wrapText="1" indent="5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65" fontId="0" fillId="0" borderId="5" xfId="1" applyNumberFormat="1" applyFont="1" applyBorder="1"/>
    <xf numFmtId="0" fontId="0" fillId="0" borderId="0" xfId="0" applyAlignment="1">
      <alignment horizontal="left" wrapText="1"/>
    </xf>
    <xf numFmtId="165" fontId="0" fillId="0" borderId="6" xfId="1" applyNumberFormat="1" applyFont="1" applyBorder="1"/>
    <xf numFmtId="1" fontId="9" fillId="0" borderId="3" xfId="0" applyNumberFormat="1" applyFont="1" applyBorder="1" applyAlignment="1">
      <alignment horizontal="right" vertical="top" shrinkToFit="1"/>
    </xf>
    <xf numFmtId="1" fontId="9" fillId="0" borderId="0" xfId="0" applyNumberFormat="1" applyFont="1" applyAlignment="1">
      <alignment horizontal="right" vertical="top" shrinkToFit="1"/>
    </xf>
    <xf numFmtId="168" fontId="9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indent="3"/>
    </xf>
    <xf numFmtId="3" fontId="16" fillId="0" borderId="4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left" vertical="top" indent="5"/>
    </xf>
    <xf numFmtId="0" fontId="12" fillId="0" borderId="0" xfId="0" applyFont="1" applyAlignment="1">
      <alignment horizontal="left" wrapText="1" indent="1"/>
    </xf>
    <xf numFmtId="165" fontId="0" fillId="0" borderId="0" xfId="1" applyNumberFormat="1" applyFont="1" applyAlignment="1">
      <alignment horizontal="center"/>
    </xf>
    <xf numFmtId="3" fontId="9" fillId="0" borderId="0" xfId="0" applyNumberFormat="1" applyFont="1" applyAlignment="1">
      <alignment horizontal="center" vertical="top" shrinkToFit="1"/>
    </xf>
    <xf numFmtId="165" fontId="1" fillId="0" borderId="0" xfId="1" applyNumberFormat="1" applyFont="1" applyBorder="1"/>
    <xf numFmtId="2" fontId="0" fillId="0" borderId="0" xfId="0" applyNumberFormat="1"/>
    <xf numFmtId="169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5" borderId="0" xfId="0" applyFill="1"/>
    <xf numFmtId="10" fontId="0" fillId="0" borderId="0" xfId="3" applyNumberFormat="1" applyFont="1"/>
    <xf numFmtId="0" fontId="17" fillId="7" borderId="7" xfId="0" applyFont="1" applyFill="1" applyBorder="1"/>
    <xf numFmtId="0" fontId="0" fillId="6" borderId="7" xfId="0" applyFill="1" applyBorder="1"/>
    <xf numFmtId="0" fontId="0" fillId="5" borderId="7" xfId="0" applyFill="1" applyBorder="1"/>
    <xf numFmtId="10" fontId="0" fillId="5" borderId="7" xfId="3" applyNumberFormat="1" applyFont="1" applyFill="1" applyBorder="1"/>
    <xf numFmtId="2" fontId="0" fillId="5" borderId="7" xfId="0" applyNumberFormat="1" applyFill="1" applyBorder="1"/>
    <xf numFmtId="169" fontId="0" fillId="5" borderId="7" xfId="0" applyNumberFormat="1" applyFill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95415130070764"/>
          <c:y val="0.25282890252215406"/>
          <c:w val="0.82363234658958773"/>
          <c:h val="0.58903702988046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Liquidity!$A$2</c:f>
              <c:strCache>
                <c:ptCount val="1"/>
                <c:pt idx="0">
                  <c:v>Current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Liquidity!$B$2:$D$2</c:f>
              <c:numCache>
                <c:formatCode>0.00</c:formatCode>
                <c:ptCount val="3"/>
                <c:pt idx="0">
                  <c:v>1.0970482394205803</c:v>
                </c:pt>
                <c:pt idx="1">
                  <c:v>1.0981123247210891</c:v>
                </c:pt>
                <c:pt idx="2">
                  <c:v>1.039977195376881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D-4EA7-A26F-CFA496630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212207"/>
        <c:axId val="2137207887"/>
      </c:barChart>
      <c:catAx>
        <c:axId val="213721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07887"/>
        <c:crosses val="autoZero"/>
        <c:auto val="1"/>
        <c:lblAlgn val="ctr"/>
        <c:lblOffset val="100"/>
        <c:noMultiLvlLbl val="0"/>
      </c:catAx>
      <c:valAx>
        <c:axId val="213720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1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Liquidity!$A$11</c:f>
              <c:strCache>
                <c:ptCount val="1"/>
                <c:pt idx="0">
                  <c:v>Working 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Liquidity!$B$11:$D$11</c:f>
              <c:numCache>
                <c:formatCode>0.00</c:formatCode>
                <c:ptCount val="3"/>
                <c:pt idx="0">
                  <c:v>8522</c:v>
                </c:pt>
                <c:pt idx="1">
                  <c:v>6710</c:v>
                </c:pt>
                <c:pt idx="2">
                  <c:v>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7-4A21-AA85-A3EC25542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534399"/>
        <c:axId val="293527679"/>
      </c:barChart>
      <c:catAx>
        <c:axId val="29353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27679"/>
        <c:crosses val="autoZero"/>
        <c:auto val="1"/>
        <c:lblAlgn val="ctr"/>
        <c:lblOffset val="100"/>
        <c:noMultiLvlLbl val="0"/>
      </c:catAx>
      <c:valAx>
        <c:axId val="29352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34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Profitability</a:t>
            </a:r>
          </a:p>
        </c:rich>
      </c:tx>
      <c:layout>
        <c:manualLayout>
          <c:xMode val="edge"/>
          <c:yMode val="edge"/>
          <c:x val="0.36704033983703838"/>
          <c:y val="2.0807324178110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Profitability!$B$1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Profitability!$A$2:$A$5</c:f>
              <c:strCache>
                <c:ptCount val="4"/>
                <c:pt idx="0">
                  <c:v>Gross margin</c:v>
                </c:pt>
                <c:pt idx="1">
                  <c:v>EBITDA margin</c:v>
                </c:pt>
                <c:pt idx="2">
                  <c:v>EBIT margin</c:v>
                </c:pt>
                <c:pt idx="3">
                  <c:v>Net margin</c:v>
                </c:pt>
              </c:strCache>
            </c:strRef>
          </c:cat>
          <c:val>
            <c:numRef>
              <c:f>Profitability!$B$2:$B$5</c:f>
              <c:numCache>
                <c:formatCode>0.00%</c:formatCode>
                <c:ptCount val="4"/>
                <c:pt idx="0">
                  <c:v>0.40990011478600608</c:v>
                </c:pt>
                <c:pt idx="1">
                  <c:v>0.12950855904349748</c:v>
                </c:pt>
                <c:pt idx="2">
                  <c:v>5.1835506662579051E-2</c:v>
                </c:pt>
                <c:pt idx="3">
                  <c:v>4.1308703060722513E-2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5-40EE-AC18-93E385352F37}"/>
            </c:ext>
          </c:extLst>
        </c:ser>
        <c:ser>
          <c:idx val="1"/>
          <c:order val="1"/>
          <c:tx>
            <c:strRef>
              <c:f>Profitability!$C$1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Profitability!$A$2:$A$5</c:f>
              <c:strCache>
                <c:ptCount val="4"/>
                <c:pt idx="0">
                  <c:v>Gross margin</c:v>
                </c:pt>
                <c:pt idx="1">
                  <c:v>EBITDA margin</c:v>
                </c:pt>
                <c:pt idx="2">
                  <c:v>EBIT margin</c:v>
                </c:pt>
                <c:pt idx="3">
                  <c:v>Net margin</c:v>
                </c:pt>
              </c:strCache>
            </c:strRef>
          </c:cat>
          <c:val>
            <c:numRef>
              <c:f>Profitability!$C$2:$C$5</c:f>
              <c:numCache>
                <c:formatCode>0.00%</c:formatCode>
                <c:ptCount val="4"/>
                <c:pt idx="0">
                  <c:v>0.40247416128852193</c:v>
                </c:pt>
                <c:pt idx="1">
                  <c:v>0.11920802792770743</c:v>
                </c:pt>
                <c:pt idx="2">
                  <c:v>5.3334879147397665E-2</c:v>
                </c:pt>
                <c:pt idx="3">
                  <c:v>4.3252736305590261E-2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5-40EE-AC18-93E385352F37}"/>
            </c:ext>
          </c:extLst>
        </c:ser>
        <c:ser>
          <c:idx val="2"/>
          <c:order val="2"/>
          <c:tx>
            <c:strRef>
              <c:f>Profitability!$D$1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Profitability!$A$2:$A$5</c:f>
              <c:strCache>
                <c:ptCount val="4"/>
                <c:pt idx="0">
                  <c:v>Gross margin</c:v>
                </c:pt>
                <c:pt idx="1">
                  <c:v>EBITDA margin</c:v>
                </c:pt>
                <c:pt idx="2">
                  <c:v>EBIT margin</c:v>
                </c:pt>
                <c:pt idx="3">
                  <c:v>Net margin</c:v>
                </c:pt>
              </c:strCache>
            </c:strRef>
          </c:cat>
          <c:val>
            <c:numRef>
              <c:f>Profitability!$D$2:$D$5</c:f>
              <c:numCache>
                <c:formatCode>0.00%</c:formatCode>
                <c:ptCount val="4"/>
                <c:pt idx="0">
                  <c:v>0.3706835482891615</c:v>
                </c:pt>
                <c:pt idx="1">
                  <c:v>8.7616520301800227E-2</c:v>
                </c:pt>
                <c:pt idx="2">
                  <c:v>2.3084794170892695E-2</c:v>
                </c:pt>
                <c:pt idx="3">
                  <c:v>1.7052162864178651E-2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5-40EE-AC18-93E385352F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3621935"/>
        <c:axId val="303637775"/>
      </c:barChart>
      <c:catAx>
        <c:axId val="30362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7775"/>
        <c:crosses val="autoZero"/>
        <c:auto val="1"/>
        <c:lblAlgn val="ctr"/>
        <c:lblOffset val="100"/>
        <c:noMultiLvlLbl val="0"/>
      </c:catAx>
      <c:valAx>
        <c:axId val="30363777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2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Solvency or debt management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'Solvency or debt management'!$B$1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('Solvency or debt management'!$A$2:$A$4,'Solvency or debt management'!$A$6:$A$7)</c:f>
              <c:strCache>
                <c:ptCount val="5"/>
                <c:pt idx="0">
                  <c:v>Debt to equity (D/E)</c:v>
                </c:pt>
                <c:pt idx="1">
                  <c:v>Debt to total assets</c:v>
                </c:pt>
                <c:pt idx="2">
                  <c:v>Long-term debt to capital</c:v>
                </c:pt>
                <c:pt idx="3">
                  <c:v>Debt coverage</c:v>
                </c:pt>
                <c:pt idx="4">
                  <c:v>Free cash flow (FCFE) per share</c:v>
                </c:pt>
              </c:strCache>
            </c:strRef>
          </c:cat>
          <c:val>
            <c:numRef>
              <c:f>('Solvency or debt management'!$B$2:$B$4,'Solvency or debt management'!$B$6:$B$7)</c:f>
              <c:numCache>
                <c:formatCode>0.000</c:formatCode>
                <c:ptCount val="5"/>
                <c:pt idx="0">
                  <c:v>0.37728005156300354</c:v>
                </c:pt>
                <c:pt idx="1">
                  <c:v>0.10394764881375196</c:v>
                </c:pt>
                <c:pt idx="2">
                  <c:v>0.27393125394856915</c:v>
                </c:pt>
                <c:pt idx="3">
                  <c:v>1.0712862179978537</c:v>
                </c:pt>
                <c:pt idx="4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5-4AE4-AFF0-8CDDD5EFA790}"/>
            </c:ext>
          </c:extLst>
        </c:ser>
        <c:ser>
          <c:idx val="1"/>
          <c:order val="1"/>
          <c:tx>
            <c:strRef>
              <c:f>'Solvency or debt management'!$C$1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('Solvency or debt management'!$A$2:$A$4,'Solvency or debt management'!$A$6:$A$7)</c:f>
              <c:strCache>
                <c:ptCount val="5"/>
                <c:pt idx="0">
                  <c:v>Debt to equity (D/E)</c:v>
                </c:pt>
                <c:pt idx="1">
                  <c:v>Debt to total assets</c:v>
                </c:pt>
                <c:pt idx="2">
                  <c:v>Long-term debt to capital</c:v>
                </c:pt>
                <c:pt idx="3">
                  <c:v>Debt coverage</c:v>
                </c:pt>
                <c:pt idx="4">
                  <c:v>Free cash flow (FCFE) per share</c:v>
                </c:pt>
              </c:strCache>
            </c:strRef>
          </c:cat>
          <c:val>
            <c:numRef>
              <c:f>('Solvency or debt management'!$C$2:$C$4,'Solvency or debt management'!$C$6:$C$7)</c:f>
              <c:numCache>
                <c:formatCode>0.000</c:formatCode>
                <c:ptCount val="5"/>
                <c:pt idx="0">
                  <c:v>0.53950722175021237</c:v>
                </c:pt>
                <c:pt idx="1">
                  <c:v>0.14445305198957256</c:v>
                </c:pt>
                <c:pt idx="2">
                  <c:v>0.35044150110375277</c:v>
                </c:pt>
                <c:pt idx="3">
                  <c:v>0.40121851284426552</c:v>
                </c:pt>
                <c:pt idx="4">
                  <c:v>0.35720739219712527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5-4AE4-AFF0-8CDDD5EFA790}"/>
            </c:ext>
          </c:extLst>
        </c:ser>
        <c:ser>
          <c:idx val="2"/>
          <c:order val="2"/>
          <c:tx>
            <c:strRef>
              <c:f>'Solvency or debt management'!$D$1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('Solvency or debt management'!$A$2:$A$4,'Solvency or debt management'!$A$6:$A$7)</c:f>
              <c:strCache>
                <c:ptCount val="5"/>
                <c:pt idx="0">
                  <c:v>Debt to equity (D/E)</c:v>
                </c:pt>
                <c:pt idx="1">
                  <c:v>Debt to total assets</c:v>
                </c:pt>
                <c:pt idx="2">
                  <c:v>Long-term debt to capital</c:v>
                </c:pt>
                <c:pt idx="3">
                  <c:v>Debt coverage</c:v>
                </c:pt>
                <c:pt idx="4">
                  <c:v>Free cash flow (FCFE) per share</c:v>
                </c:pt>
              </c:strCache>
            </c:strRef>
          </c:cat>
          <c:val>
            <c:numRef>
              <c:f>('Solvency or debt management'!$D$2:$D$4,'Solvency or debt management'!$D$6:$D$7)</c:f>
              <c:numCache>
                <c:formatCode>0.000</c:formatCode>
                <c:ptCount val="5"/>
                <c:pt idx="0">
                  <c:v>0.89295896640080841</c:v>
                </c:pt>
                <c:pt idx="1">
                  <c:v>0.18843195491584799</c:v>
                </c:pt>
                <c:pt idx="2">
                  <c:v>0.47172653092351102</c:v>
                </c:pt>
                <c:pt idx="3">
                  <c:v>0.17866028258930666</c:v>
                </c:pt>
                <c:pt idx="4">
                  <c:v>0.44454166666666667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5-4AE4-AFF0-8CDDD5EF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606447"/>
        <c:axId val="2137604527"/>
      </c:barChart>
      <c:catAx>
        <c:axId val="213760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04527"/>
        <c:crosses val="autoZero"/>
        <c:auto val="1"/>
        <c:lblAlgn val="ctr"/>
        <c:lblOffset val="100"/>
        <c:noMultiLvlLbl val="0"/>
      </c:catAx>
      <c:valAx>
        <c:axId val="213760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0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54868969193419"/>
          <c:y val="0.24184126984126991"/>
          <c:w val="0.81265955166200254"/>
          <c:h val="0.61721734783152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'Solvency or debt management'!$A$5</c:f>
              <c:strCache>
                <c:ptCount val="1"/>
                <c:pt idx="0">
                  <c:v>Times interest earned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'Solvency or debt management'!$B$1:$D$1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'Solvency or debt management'!$B$5:$D$5</c:f>
              <c:numCache>
                <c:formatCode>0.000</c:formatCode>
                <c:ptCount val="3"/>
                <c:pt idx="0">
                  <c:v>16.618285714285715</c:v>
                </c:pt>
                <c:pt idx="1">
                  <c:v>14.544496487119439</c:v>
                </c:pt>
                <c:pt idx="2">
                  <c:v>12.518292682926829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6-455F-AB72-DD120C2D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202607"/>
        <c:axId val="2137188687"/>
      </c:barChart>
      <c:catAx>
        <c:axId val="213720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88687"/>
        <c:crosses val="autoZero"/>
        <c:auto val="1"/>
        <c:lblAlgn val="ctr"/>
        <c:lblOffset val="100"/>
        <c:noMultiLvlLbl val="0"/>
      </c:catAx>
      <c:valAx>
        <c:axId val="213718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02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'Solvency or debt management'!$A$8</c:f>
              <c:strCache>
                <c:ptCount val="1"/>
                <c:pt idx="0">
                  <c:v>FCFE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'Solvency or debt management'!$B$1:$D$1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'Solvency or debt management'!$B$8:$D$8</c:f>
              <c:numCache>
                <c:formatCode>0.000</c:formatCode>
                <c:ptCount val="3"/>
                <c:pt idx="0">
                  <c:v>21242</c:v>
                </c:pt>
                <c:pt idx="1">
                  <c:v>17396</c:v>
                </c:pt>
                <c:pt idx="2">
                  <c:v>21338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C-42BE-AAC6-9D0A9EFF4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636815"/>
        <c:axId val="303630575"/>
      </c:barChart>
      <c:catAx>
        <c:axId val="30363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0575"/>
        <c:crosses val="autoZero"/>
        <c:auto val="1"/>
        <c:lblAlgn val="ctr"/>
        <c:lblOffset val="100"/>
        <c:noMultiLvlLbl val="0"/>
      </c:catAx>
      <c:valAx>
        <c:axId val="30363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63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Asset utilization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'Asset utilization'!$B$1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'Asset utilization'!$A$2:$A$4</c:f>
              <c:strCache>
                <c:ptCount val="3"/>
                <c:pt idx="0">
                  <c:v>Total asset turnover</c:v>
                </c:pt>
                <c:pt idx="1">
                  <c:v>Fixed asset turnover</c:v>
                </c:pt>
                <c:pt idx="2">
                  <c:v>Inventory turnover</c:v>
                </c:pt>
              </c:strCache>
            </c:strRef>
          </c:cat>
          <c:val>
            <c:numRef>
              <c:f>'Asset utilization'!$B$2:$B$4</c:f>
              <c:numCache>
                <c:formatCode>0.00</c:formatCode>
                <c:ptCount val="3"/>
                <c:pt idx="0">
                  <c:v>1.2453917459866459</c:v>
                </c:pt>
                <c:pt idx="1">
                  <c:v>3.8583591224812599</c:v>
                </c:pt>
                <c:pt idx="2">
                  <c:v>8.0761086988339752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5-42AD-8DE2-031CB252BF27}"/>
            </c:ext>
          </c:extLst>
        </c:ser>
        <c:ser>
          <c:idx val="1"/>
          <c:order val="1"/>
          <c:tx>
            <c:strRef>
              <c:f>'Asset utilization'!$C$1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'Asset utilization'!$A$2:$A$4</c:f>
              <c:strCache>
                <c:ptCount val="3"/>
                <c:pt idx="0">
                  <c:v>Total asset turnover</c:v>
                </c:pt>
                <c:pt idx="1">
                  <c:v>Fixed asset turnover</c:v>
                </c:pt>
                <c:pt idx="2">
                  <c:v>Inventory turnover</c:v>
                </c:pt>
              </c:strCache>
            </c:strRef>
          </c:cat>
          <c:val>
            <c:numRef>
              <c:f>'Asset utilization'!$C$2:$C$4</c:f>
              <c:numCache>
                <c:formatCode>0.00</c:formatCode>
                <c:ptCount val="3"/>
                <c:pt idx="0">
                  <c:v>1.431846687324775</c:v>
                </c:pt>
                <c:pt idx="1">
                  <c:v>3.7685809990776251</c:v>
                </c:pt>
                <c:pt idx="2">
                  <c:v>8.1027134039827651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5-42AD-8DE2-031CB252BF27}"/>
            </c:ext>
          </c:extLst>
        </c:ser>
        <c:ser>
          <c:idx val="2"/>
          <c:order val="2"/>
          <c:tx>
            <c:strRef>
              <c:f>'Asset utilization'!$D$1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'Asset utilization'!$A$2:$A$4</c:f>
              <c:strCache>
                <c:ptCount val="3"/>
                <c:pt idx="0">
                  <c:v>Total asset turnover</c:v>
                </c:pt>
                <c:pt idx="1">
                  <c:v>Fixed asset turnover</c:v>
                </c:pt>
                <c:pt idx="2">
                  <c:v>Inventory turnover</c:v>
                </c:pt>
              </c:strCache>
            </c:strRef>
          </c:cat>
          <c:val>
            <c:numRef>
              <c:f>'Asset utilization'!$D$2:$D$4</c:f>
              <c:numCache>
                <c:formatCode>0.00</c:formatCode>
                <c:ptCount val="3"/>
                <c:pt idx="0">
                  <c:v>1.3545503008148656</c:v>
                </c:pt>
                <c:pt idx="1">
                  <c:v>3.6398723038513485</c:v>
                </c:pt>
                <c:pt idx="2">
                  <c:v>6.9753848071290587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5-42AD-8DE2-031CB252B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2542767"/>
        <c:axId val="2132534127"/>
      </c:barChart>
      <c:catAx>
        <c:axId val="213254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534127"/>
        <c:crosses val="autoZero"/>
        <c:auto val="1"/>
        <c:lblAlgn val="ctr"/>
        <c:lblOffset val="100"/>
        <c:noMultiLvlLbl val="0"/>
      </c:catAx>
      <c:valAx>
        <c:axId val="213253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54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'Asset utilization'!$A$5</c:f>
              <c:strCache>
                <c:ptCount val="1"/>
                <c:pt idx="0">
                  <c:v>Return on assets (ROA)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'Asset utilization'!$B$5:$D$5</c:f>
              <c:numCache>
                <c:formatCode>0.00%</c:formatCode>
                <c:ptCount val="3"/>
                <c:pt idx="0">
                  <c:v>5.1445517829237106E-2</c:v>
                </c:pt>
                <c:pt idx="1">
                  <c:v>6.1931287196891449E-2</c:v>
                </c:pt>
                <c:pt idx="2">
                  <c:v>2.3098012337217273E-2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9-435A-BBEF-2D827EC3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194927"/>
        <c:axId val="2137213647"/>
      </c:barChart>
      <c:catAx>
        <c:axId val="213719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13647"/>
        <c:crosses val="autoZero"/>
        <c:auto val="1"/>
        <c:lblAlgn val="ctr"/>
        <c:lblOffset val="100"/>
        <c:noMultiLvlLbl val="0"/>
      </c:catAx>
      <c:valAx>
        <c:axId val="213721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9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Liquidity!$A$3</c:f>
              <c:strCache>
                <c:ptCount val="1"/>
                <c:pt idx="0">
                  <c:v>Quick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Liquidity!$B$3:$D$3</c:f>
              <c:numCache>
                <c:formatCode>0.00</c:formatCode>
                <c:ptCount val="3"/>
                <c:pt idx="0">
                  <c:v>0.86362911674941922</c:v>
                </c:pt>
                <c:pt idx="1">
                  <c:v>0.84699741194016753</c:v>
                </c:pt>
                <c:pt idx="2">
                  <c:v>0.76274553841369663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5-4976-9DEA-90475772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196367"/>
        <c:axId val="2137210767"/>
      </c:barChart>
      <c:catAx>
        <c:axId val="213719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10767"/>
        <c:crosses val="autoZero"/>
        <c:auto val="1"/>
        <c:lblAlgn val="ctr"/>
        <c:lblOffset val="100"/>
        <c:noMultiLvlLbl val="0"/>
      </c:catAx>
      <c:valAx>
        <c:axId val="213721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9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Liquidity!$A$4</c:f>
              <c:strCache>
                <c:ptCount val="1"/>
                <c:pt idx="0">
                  <c:v>Cash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Liquidity!$B$4:$D$4</c:f>
              <c:numCache>
                <c:formatCode>0.00</c:formatCode>
                <c:ptCount val="3"/>
                <c:pt idx="0">
                  <c:v>0.62657723317997538</c:v>
                </c:pt>
                <c:pt idx="1">
                  <c:v>0.60314953721980957</c:v>
                </c:pt>
                <c:pt idx="2">
                  <c:v>0.53532125149007481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7-4C8E-A3C5-84190A685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554079"/>
        <c:axId val="293541119"/>
      </c:barChart>
      <c:catAx>
        <c:axId val="29355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41119"/>
        <c:crosses val="autoZero"/>
        <c:auto val="1"/>
        <c:lblAlgn val="ctr"/>
        <c:lblOffset val="100"/>
        <c:noMultiLvlLbl val="0"/>
      </c:catAx>
      <c:valAx>
        <c:axId val="2935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5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Liquidity!$A$5</c:f>
              <c:strCache>
                <c:ptCount val="1"/>
                <c:pt idx="0">
                  <c:v>Defensive Interval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Liquidity!$B$5:$D$5</c:f>
              <c:numCache>
                <c:formatCode>0.00</c:formatCode>
                <c:ptCount val="3"/>
                <c:pt idx="0">
                  <c:v>104.06948240663806</c:v>
                </c:pt>
                <c:pt idx="1">
                  <c:v>95.903019059628249</c:v>
                </c:pt>
                <c:pt idx="2">
                  <c:v>92.741424953959481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BE6-AE1C-7AA7D0041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211247"/>
        <c:axId val="2137208847"/>
      </c:barChart>
      <c:catAx>
        <c:axId val="213721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08847"/>
        <c:crosses val="autoZero"/>
        <c:auto val="1"/>
        <c:lblAlgn val="ctr"/>
        <c:lblOffset val="100"/>
        <c:noMultiLvlLbl val="0"/>
      </c:catAx>
      <c:valAx>
        <c:axId val="213720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1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Liquidity!$A$6</c:f>
              <c:strCache>
                <c:ptCount val="1"/>
                <c:pt idx="0">
                  <c:v>Inventory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Liquidity!$B$6:$D$6</c:f>
              <c:numCache>
                <c:formatCode>0.00</c:formatCode>
                <c:ptCount val="3"/>
                <c:pt idx="0">
                  <c:v>41.531494659771894</c:v>
                </c:pt>
                <c:pt idx="1">
                  <c:v>43.568602862973925</c:v>
                </c:pt>
                <c:pt idx="2">
                  <c:v>52.326862258116392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6-4106-8940-96D50378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213167"/>
        <c:axId val="2137194447"/>
      </c:barChart>
      <c:catAx>
        <c:axId val="213721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94447"/>
        <c:crosses val="autoZero"/>
        <c:auto val="1"/>
        <c:lblAlgn val="ctr"/>
        <c:lblOffset val="100"/>
        <c:noMultiLvlLbl val="0"/>
      </c:catAx>
      <c:valAx>
        <c:axId val="213719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13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Liquidity!$A$7</c:f>
              <c:strCache>
                <c:ptCount val="1"/>
                <c:pt idx="0">
                  <c:v>Payable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Liquidity!$B$7:$D$7</c:f>
              <c:numCache>
                <c:formatCode>0.00</c:formatCode>
                <c:ptCount val="3"/>
                <c:pt idx="0">
                  <c:v>94.124163323989933</c:v>
                </c:pt>
                <c:pt idx="1">
                  <c:v>95.486073184052429</c:v>
                </c:pt>
                <c:pt idx="2">
                  <c:v>112.87758857898403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A-4DE9-9E33-FBAE3DAE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539679"/>
        <c:axId val="293540159"/>
      </c:barChart>
      <c:catAx>
        <c:axId val="29353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40159"/>
        <c:crosses val="autoZero"/>
        <c:auto val="1"/>
        <c:lblAlgn val="ctr"/>
        <c:lblOffset val="100"/>
        <c:noMultiLvlLbl val="0"/>
      </c:catAx>
      <c:valAx>
        <c:axId val="29354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39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Liquidity!$A$8</c:f>
              <c:strCache>
                <c:ptCount val="1"/>
                <c:pt idx="0">
                  <c:v>Receivable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Liquidity!$B$8:$D$8</c:f>
              <c:numCache>
                <c:formatCode>0.00</c:formatCode>
                <c:ptCount val="3"/>
                <c:pt idx="0">
                  <c:v>24.39192826231098</c:v>
                </c:pt>
                <c:pt idx="1">
                  <c:v>23.384656507233121</c:v>
                </c:pt>
                <c:pt idx="2">
                  <c:v>27.013931836326226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C-482B-82B0-9F2AA5199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189647"/>
        <c:axId val="2137211727"/>
      </c:barChart>
      <c:catAx>
        <c:axId val="213718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211727"/>
        <c:crosses val="autoZero"/>
        <c:auto val="1"/>
        <c:lblAlgn val="ctr"/>
        <c:lblOffset val="100"/>
        <c:noMultiLvlLbl val="0"/>
      </c:catAx>
      <c:valAx>
        <c:axId val="213721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8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Liquidity!$A$9</c:f>
              <c:strCache>
                <c:ptCount val="1"/>
                <c:pt idx="0">
                  <c:v>Net trading cycle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Liquidity!$B$9:$D$9</c:f>
              <c:numCache>
                <c:formatCode>0.00</c:formatCode>
                <c:ptCount val="3"/>
                <c:pt idx="0">
                  <c:v>-28.200740401907101</c:v>
                </c:pt>
                <c:pt idx="1">
                  <c:v>-28.53281381384538</c:v>
                </c:pt>
                <c:pt idx="2">
                  <c:v>-33.536794484541417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8-4A8B-BBA8-87EA2B8E3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063071"/>
        <c:axId val="184070751"/>
      </c:barChart>
      <c:dateAx>
        <c:axId val="18406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accent4">
              <a:lumMod val="60000"/>
              <a:lumOff val="40000"/>
            </a:schemeClr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70751"/>
        <c:crosses val="autoZero"/>
        <c:auto val="0"/>
        <c:lblOffset val="100"/>
        <c:baseTimeUnit val="days"/>
      </c:dateAx>
      <c:valAx>
        <c:axId val="18407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6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Liquidity!$A$10</c:f>
              <c:strCache>
                <c:ptCount val="1"/>
                <c:pt idx="0">
                  <c:v>Working Capital as a % of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Liquidity!$B$1:$D$1</c:f>
              <c:numCache>
                <c:formatCode>General</c:formatCode>
                <c:ptCount val="3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</c:numCache>
            </c:numRef>
          </c:cat>
          <c:val>
            <c:numRef>
              <c:f>Liquidity!$B$10:$D$10</c:f>
              <c:numCache>
                <c:formatCode>0.00</c:formatCode>
                <c:ptCount val="3"/>
                <c:pt idx="0">
                  <c:v>3.0379079002716365</c:v>
                </c:pt>
                <c:pt idx="1">
                  <c:v>2.8812256587958966</c:v>
                </c:pt>
                <c:pt idx="2">
                  <c:v>1.3009793889782195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3-4496-9594-9E5B0DF1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534879"/>
        <c:axId val="293547839"/>
      </c:barChart>
      <c:catAx>
        <c:axId val="29353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47839"/>
        <c:crosses val="autoZero"/>
        <c:auto val="1"/>
        <c:lblAlgn val="ctr"/>
        <c:lblOffset val="100"/>
        <c:noMultiLvlLbl val="0"/>
      </c:catAx>
      <c:valAx>
        <c:axId val="29354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53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594360</xdr:colOff>
      <xdr:row>0</xdr:row>
      <xdr:rowOff>118110</xdr:rowOff>
    </xdr:from>
    <xdr:to>
      <xdr:col>9</xdr:col>
      <xdr:colOff>556260</xdr:colOff>
      <xdr:row>10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47E92D-B1C2-1997-8135-91F223D67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</xdr:colOff>
      <xdr:row>0</xdr:row>
      <xdr:rowOff>118110</xdr:rowOff>
    </xdr:from>
    <xdr:to>
      <xdr:col>15</xdr:col>
      <xdr:colOff>220980</xdr:colOff>
      <xdr:row>10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90BAFC-7992-718B-2B8A-74BBE95FF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274320</xdr:colOff>
      <xdr:row>0</xdr:row>
      <xdr:rowOff>129540</xdr:rowOff>
    </xdr:from>
    <xdr:to>
      <xdr:col>20</xdr:col>
      <xdr:colOff>586740</xdr:colOff>
      <xdr:row>10</xdr:row>
      <xdr:rowOff>167640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336373-5564-A730-E6BC-A943F7E3D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594360</xdr:colOff>
      <xdr:row>12</xdr:row>
      <xdr:rowOff>26670</xdr:rowOff>
    </xdr:from>
    <xdr:to>
      <xdr:col>10</xdr:col>
      <xdr:colOff>7620</xdr:colOff>
      <xdr:row>22</xdr:row>
      <xdr:rowOff>53340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0548542-C1DE-EBB4-DB52-049930160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160020</xdr:colOff>
      <xdr:row>12</xdr:row>
      <xdr:rowOff>30480</xdr:rowOff>
    </xdr:from>
    <xdr:to>
      <xdr:col>15</xdr:col>
      <xdr:colOff>259080</xdr:colOff>
      <xdr:row>22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8EA7D8E-9270-005A-CC76-A4588333C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411480</xdr:colOff>
      <xdr:row>12</xdr:row>
      <xdr:rowOff>45720</xdr:rowOff>
    </xdr:from>
    <xdr:to>
      <xdr:col>20</xdr:col>
      <xdr:colOff>582705</xdr:colOff>
      <xdr:row>22</xdr:row>
      <xdr:rowOff>68580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596A337-3824-9047-1AE0-2DDC9BF0F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560294</xdr:colOff>
      <xdr:row>22</xdr:row>
      <xdr:rowOff>170329</xdr:rowOff>
    </xdr:from>
    <xdr:to>
      <xdr:col>10</xdr:col>
      <xdr:colOff>17929</xdr:colOff>
      <xdr:row>32</xdr:row>
      <xdr:rowOff>116541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759C8AA-9688-63CE-973D-93EBB5BD5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219635</xdr:colOff>
      <xdr:row>23</xdr:row>
      <xdr:rowOff>62752</xdr:rowOff>
    </xdr:from>
    <xdr:to>
      <xdr:col>16</xdr:col>
      <xdr:colOff>259976</xdr:colOff>
      <xdr:row>32</xdr:row>
      <xdr:rowOff>62753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B8BFF0A-4E63-ECE3-BF38-6431057D8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53788</xdr:colOff>
      <xdr:row>14</xdr:row>
      <xdr:rowOff>71718</xdr:rowOff>
    </xdr:from>
    <xdr:to>
      <xdr:col>26</xdr:col>
      <xdr:colOff>264458</xdr:colOff>
      <xdr:row>25</xdr:row>
      <xdr:rowOff>107577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5029E2A-0DB2-6090-0697-2F574FA34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116541</xdr:colOff>
      <xdr:row>0</xdr:row>
      <xdr:rowOff>116542</xdr:rowOff>
    </xdr:from>
    <xdr:to>
      <xdr:col>25</xdr:col>
      <xdr:colOff>564776</xdr:colOff>
      <xdr:row>13</xdr:row>
      <xdr:rowOff>98612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CA685B2-A790-14F5-4898-949DCD31B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0</xdr:row>
      <xdr:rowOff>140970</xdr:rowOff>
    </xdr:from>
    <xdr:to>
      <xdr:col>14</xdr:col>
      <xdr:colOff>365760</xdr:colOff>
      <xdr:row>17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D360DB-5298-D0CA-096C-B297FA7C7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110490</xdr:rowOff>
    </xdr:from>
    <xdr:to>
      <xdr:col>11</xdr:col>
      <xdr:colOff>320040</xdr:colOff>
      <xdr:row>13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BCF3DC-353D-8E55-B20E-1D058F5FA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220980</xdr:colOff>
      <xdr:row>0</xdr:row>
      <xdr:rowOff>125730</xdr:rowOff>
    </xdr:from>
    <xdr:to>
      <xdr:col>18</xdr:col>
      <xdr:colOff>15240</xdr:colOff>
      <xdr:row>11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E14B08-E5C4-CC09-4ADB-4DBD86ABC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541020</xdr:colOff>
      <xdr:row>10</xdr:row>
      <xdr:rowOff>118110</xdr:rowOff>
    </xdr:from>
    <xdr:to>
      <xdr:col>3</xdr:col>
      <xdr:colOff>556260</xdr:colOff>
      <xdr:row>19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E7503B-FA3A-9A79-29FF-F07E94558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0</xdr:row>
      <xdr:rowOff>110490</xdr:rowOff>
    </xdr:from>
    <xdr:to>
      <xdr:col>12</xdr:col>
      <xdr:colOff>548640</xdr:colOff>
      <xdr:row>15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9CDF48-707A-6800-90B6-75F45911C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236220</xdr:colOff>
      <xdr:row>16</xdr:row>
      <xdr:rowOff>64770</xdr:rowOff>
    </xdr:from>
    <xdr:to>
      <xdr:col>12</xdr:col>
      <xdr:colOff>563880</xdr:colOff>
      <xdr:row>28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F997E2-FAF8-461E-B3FC-164780344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26" sqref="A26"/>
    </sheetView>
  </sheetViews>
  <sheetFormatPr defaultRowHeight="14.4" x14ac:dyDescent="0.3"/>
  <cols>
    <col min="1" max="1" width="157.88671875" style="2" customWidth="1"/>
  </cols>
  <sheetData>
    <row r="1" spans="1:1" ht="23.4" x14ac:dyDescent="0.45">
      <c r="A1" s="3" t="s">
        <v>0</v>
      </c>
    </row>
    <row r="3" spans="1:1" x14ac:dyDescent="0.3">
      <c r="A3" s="2" t="s">
        <v>61</v>
      </c>
    </row>
    <row r="4" spans="1:1" x14ac:dyDescent="0.3">
      <c r="A4" s="5" t="s">
        <v>5</v>
      </c>
    </row>
    <row r="5" spans="1:1" x14ac:dyDescent="0.3">
      <c r="A5" s="6" t="s">
        <v>1</v>
      </c>
    </row>
    <row r="7" spans="1:1" x14ac:dyDescent="0.3">
      <c r="A7" s="2" t="s">
        <v>59</v>
      </c>
    </row>
    <row r="8" spans="1:1" x14ac:dyDescent="0.3">
      <c r="A8" s="2" t="s">
        <v>60</v>
      </c>
    </row>
    <row r="9" spans="1:1" ht="28.8" x14ac:dyDescent="0.3">
      <c r="A9" s="2" t="s">
        <v>2</v>
      </c>
    </row>
    <row r="10" spans="1:1" x14ac:dyDescent="0.3">
      <c r="A10" s="2" t="s">
        <v>6</v>
      </c>
    </row>
    <row r="11" spans="1:1" x14ac:dyDescent="0.3">
      <c r="A11" s="2" t="s">
        <v>4</v>
      </c>
    </row>
    <row r="13" spans="1:1" x14ac:dyDescent="0.3">
      <c r="A13" s="4" t="s">
        <v>3</v>
      </c>
    </row>
    <row r="14" spans="1:1" x14ac:dyDescent="0.3">
      <c r="A14" s="2" t="s">
        <v>7</v>
      </c>
    </row>
    <row r="15" spans="1:1" x14ac:dyDescent="0.3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0"/>
  <sheetViews>
    <sheetView topLeftCell="A34" zoomScaleNormal="100" workbookViewId="0">
      <selection activeCell="B51" sqref="B51"/>
    </sheetView>
  </sheetViews>
  <sheetFormatPr defaultRowHeight="14.4" x14ac:dyDescent="0.3"/>
  <cols>
    <col min="1" max="1" width="81.77734375" bestFit="1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7" t="s">
        <v>154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3">
      <c r="A2" s="65" t="s">
        <v>10</v>
      </c>
      <c r="B2" s="65"/>
      <c r="C2" s="65"/>
      <c r="D2" s="65"/>
    </row>
    <row r="3" spans="1:10" x14ac:dyDescent="0.3">
      <c r="B3" s="64" t="s">
        <v>56</v>
      </c>
      <c r="C3" s="64"/>
      <c r="D3" s="64"/>
    </row>
    <row r="4" spans="1:10" x14ac:dyDescent="0.3">
      <c r="B4" s="9">
        <v>2019</v>
      </c>
      <c r="C4" s="9">
        <v>2018</v>
      </c>
      <c r="D4" s="9">
        <v>2017</v>
      </c>
    </row>
    <row r="5" spans="1:10" x14ac:dyDescent="0.3">
      <c r="A5" t="s">
        <v>94</v>
      </c>
      <c r="B5" s="10">
        <v>160408</v>
      </c>
      <c r="C5" s="10">
        <v>141915</v>
      </c>
      <c r="D5" s="10">
        <v>118573</v>
      </c>
    </row>
    <row r="6" spans="1:10" x14ac:dyDescent="0.3">
      <c r="A6" s="29" t="s">
        <v>95</v>
      </c>
      <c r="B6" s="10">
        <v>120114</v>
      </c>
      <c r="C6" s="10">
        <v>90972</v>
      </c>
      <c r="D6" s="10">
        <v>59293</v>
      </c>
    </row>
    <row r="7" spans="1:10" x14ac:dyDescent="0.3">
      <c r="A7" s="36" t="s">
        <v>96</v>
      </c>
      <c r="B7" s="12">
        <f>SUM(B5:B6)</f>
        <v>280522</v>
      </c>
      <c r="C7" s="12">
        <f>SUM(C5:C6)</f>
        <v>232887</v>
      </c>
      <c r="D7" s="12">
        <f>SUM(D5:D6)</f>
        <v>177866</v>
      </c>
    </row>
    <row r="8" spans="1:10" x14ac:dyDescent="0.3">
      <c r="A8" s="16" t="s">
        <v>97</v>
      </c>
      <c r="B8" s="10"/>
      <c r="C8" s="10"/>
      <c r="D8" s="10"/>
    </row>
    <row r="9" spans="1:10" x14ac:dyDescent="0.3">
      <c r="A9" s="29" t="s">
        <v>98</v>
      </c>
      <c r="B9" s="10">
        <v>165536</v>
      </c>
      <c r="C9" s="25">
        <v>139156</v>
      </c>
      <c r="D9" s="10">
        <v>111934</v>
      </c>
    </row>
    <row r="10" spans="1:10" x14ac:dyDescent="0.3">
      <c r="A10" s="29" t="s">
        <v>99</v>
      </c>
      <c r="B10" s="10">
        <v>40232</v>
      </c>
      <c r="C10" s="25">
        <v>34027</v>
      </c>
      <c r="D10" s="10">
        <v>25249</v>
      </c>
    </row>
    <row r="11" spans="1:10" x14ac:dyDescent="0.3">
      <c r="A11" s="29" t="s">
        <v>100</v>
      </c>
      <c r="B11" s="10">
        <v>35931</v>
      </c>
      <c r="C11" s="25">
        <v>13814</v>
      </c>
      <c r="D11" s="10">
        <v>10069</v>
      </c>
    </row>
    <row r="12" spans="1:10" x14ac:dyDescent="0.3">
      <c r="A12" s="29" t="s">
        <v>101</v>
      </c>
      <c r="B12" s="10">
        <v>18878</v>
      </c>
      <c r="C12" s="25">
        <v>28837</v>
      </c>
      <c r="D12" s="10">
        <v>22620</v>
      </c>
    </row>
    <row r="13" spans="1:10" x14ac:dyDescent="0.3">
      <c r="A13" s="29" t="s">
        <v>102</v>
      </c>
      <c r="B13" s="10">
        <v>5203</v>
      </c>
      <c r="C13" s="25">
        <v>4336</v>
      </c>
      <c r="D13" s="10">
        <v>3674</v>
      </c>
    </row>
    <row r="14" spans="1:10" x14ac:dyDescent="0.3">
      <c r="A14" s="29" t="s">
        <v>103</v>
      </c>
      <c r="B14" s="10">
        <v>201</v>
      </c>
      <c r="C14" s="51">
        <v>296</v>
      </c>
      <c r="D14" s="10">
        <v>214</v>
      </c>
    </row>
    <row r="15" spans="1:10" x14ac:dyDescent="0.3">
      <c r="A15" s="35" t="s">
        <v>104</v>
      </c>
      <c r="B15" s="12">
        <f>SUM(B9:B14)</f>
        <v>265981</v>
      </c>
      <c r="C15" s="12">
        <f>SUM(C9:C14)</f>
        <v>220466</v>
      </c>
      <c r="D15" s="12">
        <f>SUM(D9:D14)</f>
        <v>173760</v>
      </c>
    </row>
    <row r="16" spans="1:10" x14ac:dyDescent="0.3">
      <c r="A16" s="35" t="s">
        <v>105</v>
      </c>
      <c r="B16" s="12">
        <f>B7-B15</f>
        <v>14541</v>
      </c>
      <c r="C16" s="12">
        <f>C7-C15</f>
        <v>12421</v>
      </c>
      <c r="D16" s="12">
        <f>D7-D15</f>
        <v>4106</v>
      </c>
    </row>
    <row r="17" spans="1:4" x14ac:dyDescent="0.3">
      <c r="A17" t="s">
        <v>106</v>
      </c>
      <c r="B17" s="10">
        <v>832</v>
      </c>
      <c r="C17" s="52">
        <v>440</v>
      </c>
      <c r="D17" s="10">
        <v>202</v>
      </c>
    </row>
    <row r="18" spans="1:4" x14ac:dyDescent="0.3">
      <c r="A18" t="s">
        <v>107</v>
      </c>
      <c r="B18" s="10">
        <v>-1600</v>
      </c>
      <c r="C18" s="53">
        <v>-1417</v>
      </c>
      <c r="D18" s="10">
        <v>-848</v>
      </c>
    </row>
    <row r="19" spans="1:4" x14ac:dyDescent="0.3">
      <c r="A19" t="s">
        <v>108</v>
      </c>
      <c r="B19" s="10">
        <v>203</v>
      </c>
      <c r="C19" s="37">
        <v>-183</v>
      </c>
      <c r="D19" s="10">
        <v>346</v>
      </c>
    </row>
    <row r="20" spans="1:4" x14ac:dyDescent="0.3">
      <c r="A20" s="34" t="s">
        <v>109</v>
      </c>
      <c r="B20" s="12">
        <f>SUM(B17:B19)</f>
        <v>-565</v>
      </c>
      <c r="C20" s="12">
        <f>SUM(C17:C19)</f>
        <v>-1160</v>
      </c>
      <c r="D20" s="12">
        <f>SUM(D17:D19)</f>
        <v>-300</v>
      </c>
    </row>
    <row r="21" spans="1:4" s="11" customFormat="1" x14ac:dyDescent="0.3">
      <c r="A21" s="34" t="s">
        <v>110</v>
      </c>
      <c r="B21" s="12">
        <v>13976</v>
      </c>
      <c r="C21" s="27">
        <v>11261</v>
      </c>
      <c r="D21" s="12">
        <f>D16+D20</f>
        <v>3806</v>
      </c>
    </row>
    <row r="22" spans="1:4" ht="13.2" customHeight="1" x14ac:dyDescent="0.3">
      <c r="A22" s="29" t="s">
        <v>111</v>
      </c>
      <c r="B22" s="10">
        <v>-2374</v>
      </c>
      <c r="C22" s="53">
        <v>-1197</v>
      </c>
      <c r="D22" s="10">
        <v>-769</v>
      </c>
    </row>
    <row r="23" spans="1:4" x14ac:dyDescent="0.3">
      <c r="A23" s="29" t="s">
        <v>112</v>
      </c>
      <c r="B23" s="10">
        <v>-14</v>
      </c>
      <c r="C23" s="51">
        <v>9</v>
      </c>
      <c r="D23" s="37">
        <v>-4</v>
      </c>
    </row>
    <row r="24" spans="1:4" ht="15" thickBot="1" x14ac:dyDescent="0.35">
      <c r="A24" s="38" t="s">
        <v>113</v>
      </c>
      <c r="B24" s="14">
        <f>SUM(B21:B23)</f>
        <v>11588</v>
      </c>
      <c r="C24" s="14">
        <f>SUM(C21:C23)</f>
        <v>10073</v>
      </c>
      <c r="D24" s="14">
        <f>SUM(D21:D23)</f>
        <v>3033</v>
      </c>
    </row>
    <row r="25" spans="1:4" ht="15" thickTop="1" x14ac:dyDescent="0.3"/>
    <row r="26" spans="1:4" x14ac:dyDescent="0.3">
      <c r="A26" s="1" t="s">
        <v>114</v>
      </c>
      <c r="B26" s="15">
        <v>23.46</v>
      </c>
      <c r="C26" s="15">
        <v>20.68</v>
      </c>
      <c r="D26" s="15">
        <v>6.32</v>
      </c>
    </row>
    <row r="27" spans="1:4" x14ac:dyDescent="0.3">
      <c r="A27" s="1" t="s">
        <v>115</v>
      </c>
      <c r="B27" s="15">
        <v>23.01</v>
      </c>
      <c r="C27" s="15">
        <v>20.14</v>
      </c>
      <c r="D27" s="15">
        <v>6.15</v>
      </c>
    </row>
    <row r="28" spans="1:4" x14ac:dyDescent="0.3">
      <c r="A28" s="39" t="s">
        <v>116</v>
      </c>
    </row>
    <row r="29" spans="1:4" x14ac:dyDescent="0.3">
      <c r="A29" s="24" t="s">
        <v>117</v>
      </c>
      <c r="B29" s="40">
        <v>494</v>
      </c>
      <c r="C29" s="40">
        <v>487</v>
      </c>
      <c r="D29" s="40">
        <v>480</v>
      </c>
    </row>
    <row r="30" spans="1:4" x14ac:dyDescent="0.3">
      <c r="A30" s="24" t="s">
        <v>118</v>
      </c>
      <c r="B30" s="41">
        <v>504</v>
      </c>
      <c r="C30" s="41">
        <v>500</v>
      </c>
      <c r="D30" s="41">
        <v>493</v>
      </c>
    </row>
    <row r="31" spans="1:4" x14ac:dyDescent="0.3">
      <c r="B31" s="22"/>
      <c r="C31" s="22"/>
      <c r="D31" s="22"/>
    </row>
    <row r="33" spans="1:4" x14ac:dyDescent="0.3">
      <c r="A33" s="65" t="s">
        <v>12</v>
      </c>
      <c r="B33" s="65"/>
      <c r="C33" s="65"/>
      <c r="D33" s="65"/>
    </row>
    <row r="34" spans="1:4" x14ac:dyDescent="0.3">
      <c r="A34" s="23" t="s">
        <v>62</v>
      </c>
      <c r="B34" s="64" t="s">
        <v>57</v>
      </c>
      <c r="C34" s="64"/>
      <c r="D34" s="64"/>
    </row>
    <row r="35" spans="1:4" x14ac:dyDescent="0.3">
      <c r="A35" s="9" t="s">
        <v>63</v>
      </c>
      <c r="B35" s="9">
        <v>2019</v>
      </c>
      <c r="C35" s="9">
        <v>2018</v>
      </c>
      <c r="D35" s="9">
        <v>2017</v>
      </c>
    </row>
    <row r="36" spans="1:4" x14ac:dyDescent="0.3">
      <c r="A36" t="s">
        <v>64</v>
      </c>
      <c r="B36" s="25">
        <v>36092</v>
      </c>
      <c r="C36" s="25">
        <v>31750</v>
      </c>
      <c r="D36" s="25">
        <v>20522</v>
      </c>
    </row>
    <row r="37" spans="1:4" x14ac:dyDescent="0.3">
      <c r="A37" t="s">
        <v>65</v>
      </c>
      <c r="B37" s="25">
        <v>18929</v>
      </c>
      <c r="C37" s="25">
        <v>9500</v>
      </c>
      <c r="D37" s="25">
        <v>10464</v>
      </c>
    </row>
    <row r="38" spans="1:4" x14ac:dyDescent="0.3">
      <c r="A38" t="s">
        <v>66</v>
      </c>
      <c r="B38" s="25">
        <v>20497</v>
      </c>
      <c r="C38" s="25">
        <v>17174</v>
      </c>
      <c r="D38" s="25">
        <v>16047</v>
      </c>
    </row>
    <row r="39" spans="1:4" x14ac:dyDescent="0.3">
      <c r="A39" t="s">
        <v>67</v>
      </c>
      <c r="B39" s="25">
        <v>20816</v>
      </c>
      <c r="C39" s="26">
        <v>16677</v>
      </c>
      <c r="D39" s="26">
        <v>13164</v>
      </c>
    </row>
    <row r="40" spans="1:4" x14ac:dyDescent="0.3">
      <c r="A40" s="54" t="s">
        <v>68</v>
      </c>
      <c r="B40" s="55">
        <f>SUM(B36:B39)</f>
        <v>96334</v>
      </c>
      <c r="C40" s="55">
        <f>SUM(C36:C39)</f>
        <v>75101</v>
      </c>
      <c r="D40" s="55">
        <f>SUM(D36:D39)</f>
        <v>60197</v>
      </c>
    </row>
    <row r="41" spans="1:4" x14ac:dyDescent="0.3">
      <c r="A41" t="s">
        <v>69</v>
      </c>
      <c r="B41" s="25">
        <v>72705</v>
      </c>
      <c r="C41" s="25">
        <v>61797</v>
      </c>
      <c r="D41" s="25">
        <v>48866</v>
      </c>
    </row>
    <row r="42" spans="1:4" x14ac:dyDescent="0.3">
      <c r="A42" t="s">
        <v>158</v>
      </c>
      <c r="B42" s="25">
        <v>25141</v>
      </c>
      <c r="C42" s="59" t="s">
        <v>82</v>
      </c>
      <c r="D42" s="59" t="s">
        <v>82</v>
      </c>
    </row>
    <row r="43" spans="1:4" x14ac:dyDescent="0.3">
      <c r="A43" t="s">
        <v>70</v>
      </c>
      <c r="B43" s="25">
        <v>14754</v>
      </c>
      <c r="C43" s="25">
        <v>14548</v>
      </c>
      <c r="D43" s="25">
        <v>13350</v>
      </c>
    </row>
    <row r="44" spans="1:4" x14ac:dyDescent="0.3">
      <c r="A44" s="29" t="s">
        <v>71</v>
      </c>
      <c r="B44" s="25">
        <v>16314</v>
      </c>
      <c r="C44" s="26">
        <v>11202</v>
      </c>
      <c r="D44" s="26">
        <v>8897</v>
      </c>
    </row>
    <row r="45" spans="1:4" x14ac:dyDescent="0.3">
      <c r="A45" s="28" t="s">
        <v>72</v>
      </c>
      <c r="B45" s="12">
        <f>SUM(B40:B44)</f>
        <v>225248</v>
      </c>
      <c r="C45" s="12">
        <f>SUM(C40:C44)</f>
        <v>162648</v>
      </c>
      <c r="D45" s="12">
        <f>SUM(D40:D44)</f>
        <v>131310</v>
      </c>
    </row>
    <row r="46" spans="1:4" x14ac:dyDescent="0.3">
      <c r="A46" s="31" t="s">
        <v>78</v>
      </c>
      <c r="B46" s="10"/>
      <c r="C46" s="10"/>
      <c r="D46" s="10"/>
    </row>
    <row r="47" spans="1:4" x14ac:dyDescent="0.3">
      <c r="A47" s="9" t="s">
        <v>73</v>
      </c>
      <c r="B47" s="10"/>
      <c r="C47" s="10"/>
      <c r="D47" s="10"/>
    </row>
    <row r="48" spans="1:4" x14ac:dyDescent="0.3">
      <c r="A48" s="1" t="s">
        <v>74</v>
      </c>
      <c r="B48" s="10">
        <v>47183</v>
      </c>
      <c r="C48" s="10">
        <v>38192</v>
      </c>
      <c r="D48" s="10">
        <v>34616</v>
      </c>
    </row>
    <row r="49" spans="1:4" x14ac:dyDescent="0.3">
      <c r="A49" s="1" t="s">
        <v>75</v>
      </c>
      <c r="B49" s="10">
        <v>32439</v>
      </c>
      <c r="C49" s="10">
        <v>23663</v>
      </c>
      <c r="D49" s="10">
        <v>18170</v>
      </c>
    </row>
    <row r="50" spans="1:4" x14ac:dyDescent="0.3">
      <c r="A50" s="1" t="s">
        <v>76</v>
      </c>
      <c r="B50" s="10">
        <v>8190</v>
      </c>
      <c r="C50" s="10">
        <v>6536</v>
      </c>
      <c r="D50" s="10">
        <v>5097</v>
      </c>
    </row>
    <row r="51" spans="1:4" ht="15" thickBot="1" x14ac:dyDescent="0.35">
      <c r="A51" s="13" t="s">
        <v>77</v>
      </c>
      <c r="B51" s="14">
        <f>SUM(B48:B50)</f>
        <v>87812</v>
      </c>
      <c r="C51" s="14">
        <f>SUM(C48:C50)</f>
        <v>68391</v>
      </c>
      <c r="D51" s="14">
        <f>SUM(D48:D50)</f>
        <v>57883</v>
      </c>
    </row>
    <row r="52" spans="1:4" ht="15" thickTop="1" x14ac:dyDescent="0.3">
      <c r="A52" t="s">
        <v>159</v>
      </c>
      <c r="B52" s="60">
        <v>39791</v>
      </c>
      <c r="C52" s="59" t="s">
        <v>82</v>
      </c>
      <c r="D52" s="59" t="s">
        <v>82</v>
      </c>
    </row>
    <row r="53" spans="1:4" x14ac:dyDescent="0.3">
      <c r="A53" t="s">
        <v>79</v>
      </c>
      <c r="B53" s="25">
        <v>23414</v>
      </c>
      <c r="C53" s="25">
        <v>23495</v>
      </c>
      <c r="D53">
        <v>24743</v>
      </c>
    </row>
    <row r="54" spans="1:4" x14ac:dyDescent="0.3">
      <c r="A54" t="s">
        <v>80</v>
      </c>
      <c r="B54" s="25">
        <v>12171</v>
      </c>
      <c r="C54" s="25">
        <v>27213</v>
      </c>
      <c r="D54">
        <v>20975</v>
      </c>
    </row>
    <row r="55" spans="1:4" x14ac:dyDescent="0.3">
      <c r="A55" s="56" t="s">
        <v>160</v>
      </c>
      <c r="B55" s="12">
        <f>SUM(B51,B53,B54,B52)</f>
        <v>163188</v>
      </c>
      <c r="C55" s="12">
        <f>SUM(C51,C53,C54)</f>
        <v>119099</v>
      </c>
      <c r="D55" s="12">
        <f>SUM(D51,D53,D54)</f>
        <v>103601</v>
      </c>
    </row>
    <row r="56" spans="1:4" x14ac:dyDescent="0.3">
      <c r="A56" s="9" t="s">
        <v>81</v>
      </c>
      <c r="B56" s="10"/>
      <c r="C56" s="10"/>
      <c r="D56" s="10"/>
    </row>
    <row r="57" spans="1:4" x14ac:dyDescent="0.3">
      <c r="A57" s="5" t="s">
        <v>83</v>
      </c>
      <c r="B57" s="32" t="s">
        <v>82</v>
      </c>
      <c r="C57" s="32" t="s">
        <v>82</v>
      </c>
      <c r="D57" s="32" t="s">
        <v>82</v>
      </c>
    </row>
    <row r="58" spans="1:4" x14ac:dyDescent="0.3">
      <c r="A58" s="1" t="s">
        <v>84</v>
      </c>
      <c r="B58" s="10"/>
      <c r="C58" s="10"/>
      <c r="D58" s="10"/>
    </row>
    <row r="59" spans="1:4" x14ac:dyDescent="0.3">
      <c r="A59" s="1" t="s">
        <v>85</v>
      </c>
      <c r="B59" s="10"/>
      <c r="C59" s="10"/>
      <c r="D59" s="32"/>
    </row>
    <row r="60" spans="1:4" x14ac:dyDescent="0.3">
      <c r="A60" s="1" t="s">
        <v>86</v>
      </c>
      <c r="B60" s="10"/>
      <c r="C60" s="10"/>
      <c r="D60" s="32"/>
    </row>
    <row r="61" spans="1:4" x14ac:dyDescent="0.3">
      <c r="A61" s="1" t="s">
        <v>87</v>
      </c>
      <c r="B61" s="32">
        <v>5</v>
      </c>
      <c r="C61" s="32">
        <v>5</v>
      </c>
      <c r="D61" s="32">
        <v>5</v>
      </c>
    </row>
    <row r="62" spans="1:4" x14ac:dyDescent="0.3">
      <c r="A62" s="1" t="s">
        <v>88</v>
      </c>
      <c r="B62" s="10">
        <v>-1837</v>
      </c>
      <c r="C62" s="10">
        <v>-1837</v>
      </c>
      <c r="D62" s="32">
        <v>-1837</v>
      </c>
    </row>
    <row r="63" spans="1:4" x14ac:dyDescent="0.3">
      <c r="A63" s="1" t="s">
        <v>89</v>
      </c>
      <c r="B63" s="10">
        <v>33658</v>
      </c>
      <c r="C63" s="10">
        <v>26791</v>
      </c>
      <c r="D63" s="10">
        <v>21389</v>
      </c>
    </row>
    <row r="64" spans="1:4" x14ac:dyDescent="0.3">
      <c r="A64" s="1" t="s">
        <v>90</v>
      </c>
      <c r="B64" s="10">
        <v>-986</v>
      </c>
      <c r="C64" s="10">
        <v>-1035</v>
      </c>
      <c r="D64" s="10">
        <v>-484</v>
      </c>
    </row>
    <row r="65" spans="1:4" x14ac:dyDescent="0.3">
      <c r="A65" s="1" t="s">
        <v>91</v>
      </c>
      <c r="B65" s="10">
        <v>31220</v>
      </c>
      <c r="C65" s="10">
        <v>19625</v>
      </c>
      <c r="D65" s="10">
        <v>8636</v>
      </c>
    </row>
    <row r="66" spans="1:4" x14ac:dyDescent="0.3">
      <c r="A66" s="30" t="s">
        <v>92</v>
      </c>
      <c r="B66" s="12">
        <f>SUM(B61:B65)</f>
        <v>62060</v>
      </c>
      <c r="C66" s="12">
        <f>SUM(C61:C65)</f>
        <v>43549</v>
      </c>
      <c r="D66" s="12">
        <f>SUM(D61:D65)</f>
        <v>27709</v>
      </c>
    </row>
    <row r="67" spans="1:4" ht="15" thickBot="1" x14ac:dyDescent="0.35">
      <c r="A67" s="33" t="s">
        <v>93</v>
      </c>
      <c r="B67" s="14">
        <f>SUM(B66,B51,B53,B54,B52)</f>
        <v>225248</v>
      </c>
      <c r="C67" s="14">
        <f>SUM(C66,C51,C53,C54)</f>
        <v>162648</v>
      </c>
      <c r="D67" s="14">
        <f>SUM(D66,D51,D53,D54)</f>
        <v>131310</v>
      </c>
    </row>
    <row r="68" spans="1:4" ht="15" thickTop="1" x14ac:dyDescent="0.3"/>
    <row r="69" spans="1:4" x14ac:dyDescent="0.3">
      <c r="A69" s="65" t="s">
        <v>13</v>
      </c>
      <c r="B69" s="65"/>
      <c r="C69" s="65"/>
      <c r="D69" s="65"/>
    </row>
    <row r="70" spans="1:4" x14ac:dyDescent="0.3">
      <c r="B70" s="64" t="s">
        <v>56</v>
      </c>
      <c r="C70" s="64"/>
      <c r="D70" s="64"/>
    </row>
    <row r="71" spans="1:4" x14ac:dyDescent="0.3">
      <c r="A71" s="42"/>
      <c r="B71" s="9">
        <v>2019</v>
      </c>
      <c r="C71" s="9">
        <v>2018</v>
      </c>
      <c r="D71" s="9">
        <v>2017</v>
      </c>
    </row>
    <row r="72" spans="1:4" x14ac:dyDescent="0.3">
      <c r="A72" s="16" t="s">
        <v>131</v>
      </c>
      <c r="B72" s="10">
        <v>32173</v>
      </c>
      <c r="C72" s="10">
        <v>21856</v>
      </c>
      <c r="D72" s="10">
        <v>19334</v>
      </c>
    </row>
    <row r="73" spans="1:4" x14ac:dyDescent="0.3">
      <c r="A73" s="1" t="s">
        <v>119</v>
      </c>
      <c r="B73" s="10">
        <v>11588</v>
      </c>
      <c r="C73" s="10">
        <v>10073</v>
      </c>
      <c r="D73" s="10">
        <v>3033</v>
      </c>
    </row>
    <row r="74" spans="1:4" x14ac:dyDescent="0.3">
      <c r="A74" s="1" t="s">
        <v>120</v>
      </c>
      <c r="B74" s="10"/>
      <c r="C74" s="10"/>
      <c r="D74" s="10"/>
    </row>
    <row r="75" spans="1:4" ht="28.8" x14ac:dyDescent="0.3">
      <c r="A75" s="57" t="s">
        <v>155</v>
      </c>
      <c r="B75" s="10">
        <v>21789</v>
      </c>
      <c r="C75" s="10">
        <v>15341</v>
      </c>
      <c r="D75" s="10">
        <v>11478</v>
      </c>
    </row>
    <row r="76" spans="1:4" x14ac:dyDescent="0.3">
      <c r="A76" s="1" t="s">
        <v>121</v>
      </c>
      <c r="B76" s="10">
        <v>6864</v>
      </c>
      <c r="C76" s="10">
        <v>5418</v>
      </c>
      <c r="D76" s="10">
        <v>4215</v>
      </c>
    </row>
    <row r="77" spans="1:4" x14ac:dyDescent="0.3">
      <c r="A77" s="1" t="s">
        <v>122</v>
      </c>
      <c r="B77" s="10">
        <v>164</v>
      </c>
      <c r="C77" s="10">
        <v>274</v>
      </c>
      <c r="D77" s="10">
        <v>202</v>
      </c>
    </row>
    <row r="78" spans="1:4" x14ac:dyDescent="0.3">
      <c r="A78" s="1" t="s">
        <v>123</v>
      </c>
      <c r="B78" s="10">
        <v>-249</v>
      </c>
      <c r="C78" s="10">
        <v>219</v>
      </c>
      <c r="D78" s="10">
        <v>-292</v>
      </c>
    </row>
    <row r="79" spans="1:4" x14ac:dyDescent="0.3">
      <c r="A79" s="1" t="s">
        <v>124</v>
      </c>
      <c r="B79" s="10">
        <v>796</v>
      </c>
      <c r="C79" s="10">
        <v>441</v>
      </c>
      <c r="D79" s="10">
        <v>-29</v>
      </c>
    </row>
    <row r="80" spans="1:4" x14ac:dyDescent="0.3">
      <c r="A80" s="47" t="s">
        <v>130</v>
      </c>
      <c r="B80" s="10"/>
      <c r="C80" s="10"/>
      <c r="D80" s="10"/>
    </row>
    <row r="81" spans="1:6" x14ac:dyDescent="0.3">
      <c r="A81" s="44" t="s">
        <v>125</v>
      </c>
      <c r="B81" s="10">
        <v>-3278</v>
      </c>
      <c r="C81" s="10">
        <v>-1314</v>
      </c>
      <c r="D81" s="10">
        <v>-3583</v>
      </c>
    </row>
    <row r="82" spans="1:6" x14ac:dyDescent="0.3">
      <c r="A82" s="44" t="s">
        <v>126</v>
      </c>
      <c r="B82" s="10">
        <v>-7681</v>
      </c>
      <c r="C82" s="10">
        <v>-4615</v>
      </c>
      <c r="D82" s="10">
        <v>-4786</v>
      </c>
    </row>
    <row r="83" spans="1:6" x14ac:dyDescent="0.3">
      <c r="A83" s="44" t="s">
        <v>127</v>
      </c>
      <c r="B83" s="10">
        <v>8193</v>
      </c>
      <c r="C83" s="10">
        <v>3263</v>
      </c>
      <c r="D83" s="10">
        <v>7175</v>
      </c>
    </row>
    <row r="84" spans="1:6" x14ac:dyDescent="0.3">
      <c r="A84" s="44" t="s">
        <v>128</v>
      </c>
      <c r="B84" s="10">
        <v>-1383</v>
      </c>
      <c r="C84" s="10">
        <v>472</v>
      </c>
      <c r="D84" s="10">
        <v>283</v>
      </c>
    </row>
    <row r="85" spans="1:6" ht="15" thickBot="1" x14ac:dyDescent="0.35">
      <c r="A85" s="44" t="s">
        <v>129</v>
      </c>
      <c r="B85" s="10">
        <v>1711</v>
      </c>
      <c r="C85" s="10">
        <v>1151</v>
      </c>
      <c r="D85" s="10">
        <v>738</v>
      </c>
    </row>
    <row r="86" spans="1:6" x14ac:dyDescent="0.3">
      <c r="A86" s="46" t="s">
        <v>161</v>
      </c>
      <c r="B86" s="48">
        <f>SUM(B73:B85)</f>
        <v>38514</v>
      </c>
      <c r="C86" s="48">
        <f>SUM(C73:C85)</f>
        <v>30723</v>
      </c>
      <c r="D86" s="48">
        <f>SUM(D73:D85)</f>
        <v>18434</v>
      </c>
    </row>
    <row r="87" spans="1:6" x14ac:dyDescent="0.3">
      <c r="A87" s="11" t="s">
        <v>132</v>
      </c>
      <c r="B87" s="12"/>
      <c r="C87" s="12"/>
      <c r="D87" s="12"/>
    </row>
    <row r="88" spans="1:6" x14ac:dyDescent="0.3">
      <c r="A88" s="43" t="s">
        <v>133</v>
      </c>
      <c r="B88" s="10">
        <v>-16861</v>
      </c>
      <c r="C88" s="10">
        <v>-13427</v>
      </c>
      <c r="D88" s="10">
        <v>-11955</v>
      </c>
      <c r="F88" s="10"/>
    </row>
    <row r="89" spans="1:6" x14ac:dyDescent="0.3">
      <c r="A89" s="43" t="s">
        <v>134</v>
      </c>
      <c r="B89" s="10">
        <v>4172</v>
      </c>
      <c r="C89" s="10">
        <v>2104</v>
      </c>
      <c r="D89" s="10">
        <v>1897</v>
      </c>
    </row>
    <row r="90" spans="1:6" x14ac:dyDescent="0.3">
      <c r="A90" s="43" t="s">
        <v>135</v>
      </c>
      <c r="B90" s="10">
        <v>-2461</v>
      </c>
      <c r="C90" s="10">
        <v>-2186</v>
      </c>
      <c r="D90" s="10">
        <v>-13972</v>
      </c>
    </row>
    <row r="91" spans="1:6" x14ac:dyDescent="0.3">
      <c r="A91" s="43" t="s">
        <v>136</v>
      </c>
      <c r="B91" s="10">
        <v>22681</v>
      </c>
      <c r="C91" s="10">
        <v>8240</v>
      </c>
      <c r="D91" s="10">
        <v>9988</v>
      </c>
    </row>
    <row r="92" spans="1:6" ht="15" thickBot="1" x14ac:dyDescent="0.35">
      <c r="A92" s="43" t="s">
        <v>137</v>
      </c>
      <c r="B92" s="10">
        <v>-31812</v>
      </c>
      <c r="C92" s="10">
        <v>-7100</v>
      </c>
      <c r="D92" s="10">
        <v>-13777</v>
      </c>
    </row>
    <row r="93" spans="1:6" x14ac:dyDescent="0.3">
      <c r="A93" s="45" t="s">
        <v>138</v>
      </c>
      <c r="B93" s="48">
        <f>SUM(B88:B92)</f>
        <v>-24281</v>
      </c>
      <c r="C93" s="48">
        <f>SUM(C88:C92)</f>
        <v>-12369</v>
      </c>
      <c r="D93" s="48">
        <f>SUM(D88:D92)</f>
        <v>-27819</v>
      </c>
    </row>
    <row r="94" spans="1:6" x14ac:dyDescent="0.3">
      <c r="A94" s="46" t="s">
        <v>139</v>
      </c>
      <c r="D94" s="10"/>
    </row>
    <row r="95" spans="1:6" x14ac:dyDescent="0.3">
      <c r="A95" s="43" t="s">
        <v>140</v>
      </c>
      <c r="B95">
        <v>2273</v>
      </c>
      <c r="C95">
        <v>768</v>
      </c>
      <c r="D95" s="10">
        <v>16231</v>
      </c>
    </row>
    <row r="96" spans="1:6" x14ac:dyDescent="0.3">
      <c r="A96" s="43" t="s">
        <v>141</v>
      </c>
      <c r="B96">
        <v>-2684</v>
      </c>
      <c r="C96">
        <v>-668</v>
      </c>
      <c r="D96" s="10">
        <v>-1372</v>
      </c>
    </row>
    <row r="97" spans="1:7" x14ac:dyDescent="0.3">
      <c r="A97" s="43" t="s">
        <v>142</v>
      </c>
      <c r="B97">
        <v>-9628</v>
      </c>
      <c r="C97">
        <v>-7449</v>
      </c>
      <c r="D97" s="10">
        <v>-4799</v>
      </c>
    </row>
    <row r="98" spans="1:7" ht="15" thickBot="1" x14ac:dyDescent="0.35">
      <c r="A98" s="43" t="s">
        <v>143</v>
      </c>
      <c r="B98">
        <v>-27</v>
      </c>
      <c r="C98">
        <v>-337</v>
      </c>
      <c r="D98" s="10">
        <v>-200</v>
      </c>
    </row>
    <row r="99" spans="1:7" x14ac:dyDescent="0.3">
      <c r="A99" s="45" t="s">
        <v>144</v>
      </c>
      <c r="B99" s="48">
        <f>SUM(B95:B98)</f>
        <v>-10066</v>
      </c>
      <c r="C99" s="48">
        <f>SUM(C95:C98)</f>
        <v>-7686</v>
      </c>
      <c r="D99" s="48">
        <f>SUM(D95:D98)</f>
        <v>9860</v>
      </c>
    </row>
    <row r="100" spans="1:7" ht="15" thickBot="1" x14ac:dyDescent="0.35">
      <c r="A100" s="43" t="s">
        <v>145</v>
      </c>
      <c r="B100">
        <v>70</v>
      </c>
      <c r="C100">
        <v>-351</v>
      </c>
      <c r="D100" s="10">
        <v>713</v>
      </c>
    </row>
    <row r="101" spans="1:7" ht="15" thickBot="1" x14ac:dyDescent="0.35">
      <c r="A101" s="43" t="s">
        <v>146</v>
      </c>
      <c r="B101" s="48">
        <v>4237</v>
      </c>
      <c r="C101" s="48">
        <v>10317</v>
      </c>
      <c r="D101" s="48">
        <v>1188</v>
      </c>
    </row>
    <row r="102" spans="1:7" ht="15" thickBot="1" x14ac:dyDescent="0.35">
      <c r="A102" s="43" t="s">
        <v>147</v>
      </c>
      <c r="B102" s="50">
        <v>36410</v>
      </c>
      <c r="C102" s="50">
        <v>32173</v>
      </c>
      <c r="D102" s="50">
        <v>20522</v>
      </c>
    </row>
    <row r="103" spans="1:7" x14ac:dyDescent="0.3">
      <c r="A103" s="43" t="s">
        <v>148</v>
      </c>
      <c r="D103" s="49"/>
    </row>
    <row r="104" spans="1:7" x14ac:dyDescent="0.3">
      <c r="A104" s="43" t="s">
        <v>149</v>
      </c>
      <c r="B104">
        <v>875</v>
      </c>
      <c r="C104">
        <v>854</v>
      </c>
      <c r="D104" s="10">
        <v>328</v>
      </c>
    </row>
    <row r="105" spans="1:7" x14ac:dyDescent="0.3">
      <c r="A105" s="43" t="s">
        <v>150</v>
      </c>
      <c r="B105">
        <v>39</v>
      </c>
      <c r="C105">
        <v>575</v>
      </c>
      <c r="D105" s="10">
        <v>319</v>
      </c>
    </row>
    <row r="106" spans="1:7" x14ac:dyDescent="0.3">
      <c r="A106" s="43" t="s">
        <v>151</v>
      </c>
      <c r="B106">
        <v>881</v>
      </c>
      <c r="C106">
        <v>1184</v>
      </c>
      <c r="D106" s="10">
        <v>957</v>
      </c>
    </row>
    <row r="107" spans="1:7" x14ac:dyDescent="0.3">
      <c r="A107" s="43" t="s">
        <v>152</v>
      </c>
      <c r="B107">
        <v>13723</v>
      </c>
      <c r="C107">
        <v>10615</v>
      </c>
      <c r="D107" s="10">
        <v>9637</v>
      </c>
    </row>
    <row r="108" spans="1:7" x14ac:dyDescent="0.3">
      <c r="A108" s="43" t="s">
        <v>153</v>
      </c>
      <c r="B108" s="10">
        <v>1362</v>
      </c>
      <c r="C108" s="10">
        <v>3641</v>
      </c>
      <c r="D108" s="10">
        <v>3541</v>
      </c>
      <c r="G108" s="10"/>
    </row>
    <row r="109" spans="1:7" x14ac:dyDescent="0.3">
      <c r="A109" t="s">
        <v>156</v>
      </c>
      <c r="B109">
        <v>3361</v>
      </c>
      <c r="C109" s="58" t="s">
        <v>82</v>
      </c>
      <c r="D109" s="58" t="s">
        <v>82</v>
      </c>
    </row>
    <row r="110" spans="1:7" x14ac:dyDescent="0.3">
      <c r="A110" t="s">
        <v>157</v>
      </c>
      <c r="B110">
        <v>647</v>
      </c>
      <c r="C110" s="58" t="s">
        <v>82</v>
      </c>
      <c r="D110" s="58" t="s">
        <v>82</v>
      </c>
    </row>
  </sheetData>
  <mergeCells count="6">
    <mergeCell ref="B70:D70"/>
    <mergeCell ref="A2:D2"/>
    <mergeCell ref="B3:D3"/>
    <mergeCell ref="A33:D33"/>
    <mergeCell ref="B34:D34"/>
    <mergeCell ref="A69:D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opLeftCell="A28" workbookViewId="0">
      <selection activeCell="B34" sqref="B34:E37"/>
    </sheetView>
  </sheetViews>
  <sheetFormatPr defaultRowHeight="14.4" x14ac:dyDescent="0.3"/>
  <cols>
    <col min="1" max="1" width="4.6640625" customWidth="1"/>
    <col min="2" max="2" width="44.88671875" customWidth="1"/>
    <col min="3" max="3" width="12.109375" bestFit="1" customWidth="1"/>
    <col min="4" max="5" width="10.5546875" bestFit="1" customWidth="1"/>
  </cols>
  <sheetData>
    <row r="1" spans="1:10" ht="60" customHeight="1" x14ac:dyDescent="0.5">
      <c r="A1" s="7"/>
      <c r="B1" s="18" t="s">
        <v>154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64" t="s">
        <v>58</v>
      </c>
      <c r="D2" s="64"/>
      <c r="E2" s="64"/>
    </row>
    <row r="3" spans="1:10" x14ac:dyDescent="0.3">
      <c r="C3" s="9">
        <v>2019</v>
      </c>
      <c r="D3" s="9">
        <v>2018</v>
      </c>
      <c r="E3" s="9">
        <v>2017</v>
      </c>
    </row>
    <row r="4" spans="1:10" x14ac:dyDescent="0.3">
      <c r="A4" s="20">
        <v>1</v>
      </c>
      <c r="B4" s="9" t="s">
        <v>14</v>
      </c>
      <c r="C4" s="61"/>
      <c r="D4" s="61"/>
      <c r="E4" s="61"/>
    </row>
    <row r="5" spans="1:10" x14ac:dyDescent="0.3">
      <c r="A5" s="20">
        <f>+A4+0.1</f>
        <v>1.1000000000000001</v>
      </c>
      <c r="B5" s="1" t="s">
        <v>15</v>
      </c>
      <c r="C5" s="61">
        <f>'Financial Statements'!B40/'Financial Statements'!B51</f>
        <v>1.0970482394205803</v>
      </c>
      <c r="D5" s="61">
        <f>'Financial Statements'!C40/'Financial Statements'!C51</f>
        <v>1.0981123247210891</v>
      </c>
      <c r="E5" s="61">
        <f>'Financial Statements'!D40/'Financial Statements'!D51</f>
        <v>1.039977195376881</v>
      </c>
      <c r="F5" s="61"/>
    </row>
    <row r="6" spans="1:10" x14ac:dyDescent="0.3">
      <c r="A6" s="20">
        <f t="shared" ref="A6:A13" si="0">+A5+0.1</f>
        <v>1.2000000000000002</v>
      </c>
      <c r="B6" s="1" t="s">
        <v>16</v>
      </c>
      <c r="C6" s="61">
        <f>('Financial Statements'!B40-'Financial Statements'!B38)/'Financial Statements'!B51</f>
        <v>0.86362911674941922</v>
      </c>
      <c r="D6" s="61">
        <f>('Financial Statements'!C40-'Financial Statements'!C38)/'Financial Statements'!C51</f>
        <v>0.84699741194016753</v>
      </c>
      <c r="E6" s="61">
        <f>('Financial Statements'!D40-'Financial Statements'!D38)/'Financial Statements'!D51</f>
        <v>0.76274553841369663</v>
      </c>
    </row>
    <row r="7" spans="1:10" x14ac:dyDescent="0.3">
      <c r="A7" s="20">
        <f t="shared" si="0"/>
        <v>1.3000000000000003</v>
      </c>
      <c r="B7" s="1" t="s">
        <v>17</v>
      </c>
      <c r="C7" s="61">
        <f>('Financial Statements'!B36+'Financial Statements'!B37)/'Financial Statements'!B51</f>
        <v>0.62657723317997538</v>
      </c>
      <c r="D7" s="61">
        <f>('Financial Statements'!C36+'Financial Statements'!C37)/'Financial Statements'!C51</f>
        <v>0.60314953721980957</v>
      </c>
      <c r="E7" s="61">
        <f>('Financial Statements'!D36+'Financial Statements'!D37)/'Financial Statements'!D51</f>
        <v>0.53532125149007481</v>
      </c>
    </row>
    <row r="8" spans="1:10" x14ac:dyDescent="0.3">
      <c r="A8" s="20">
        <f t="shared" si="0"/>
        <v>1.4000000000000004</v>
      </c>
      <c r="B8" s="1" t="s">
        <v>18</v>
      </c>
      <c r="C8" s="61">
        <f>('Financial Statements'!B36+'Financial Statements'!B37+'Financial Statements'!B39)/('Financial Statements'!B15/365)</f>
        <v>104.06948240663806</v>
      </c>
      <c r="D8" s="61">
        <f>('Financial Statements'!C36+'Financial Statements'!C37+'Financial Statements'!C39)/('Financial Statements'!C15/365)</f>
        <v>95.903019059628249</v>
      </c>
      <c r="E8" s="61">
        <f>('Financial Statements'!D36+'Financial Statements'!D37+'Financial Statements'!D39)/('Financial Statements'!D15/365)</f>
        <v>92.741424953959481</v>
      </c>
    </row>
    <row r="9" spans="1:10" x14ac:dyDescent="0.3">
      <c r="A9" s="20">
        <f t="shared" si="0"/>
        <v>1.5000000000000004</v>
      </c>
      <c r="B9" s="1" t="s">
        <v>19</v>
      </c>
      <c r="C9" s="61">
        <f>(AVERAGE('Financial Statements'!B38,'Financial Statements'!C38)/'Financial Statements'!B9)*365</f>
        <v>41.531494659771894</v>
      </c>
      <c r="D9" s="61">
        <f>(AVERAGE('Financial Statements'!C38,'Financial Statements'!D38)/'Financial Statements'!C9)*365</f>
        <v>43.568602862973925</v>
      </c>
      <c r="E9" s="61">
        <f>(AVERAGE('Financial Statements'!D38,'Financial Statements'!E38)/'Financial Statements'!D9)*365</f>
        <v>52.326862258116392</v>
      </c>
    </row>
    <row r="10" spans="1:10" x14ac:dyDescent="0.3">
      <c r="A10" s="20">
        <f t="shared" si="0"/>
        <v>1.6000000000000005</v>
      </c>
      <c r="B10" s="1" t="s">
        <v>20</v>
      </c>
      <c r="C10" s="61">
        <f>(AVERAGE('Financial Statements'!B48,'Financial Statements'!C48)/'Financial Statements'!B9)*365</f>
        <v>94.124163323989933</v>
      </c>
      <c r="D10" s="61">
        <f>(AVERAGE('Financial Statements'!C48,'Financial Statements'!D48)/'Financial Statements'!C9)*365</f>
        <v>95.486073184052429</v>
      </c>
      <c r="E10" s="61">
        <f>(AVERAGE('Financial Statements'!D48,'Financial Statements'!E48)/'Financial Statements'!D9)*365</f>
        <v>112.87758857898403</v>
      </c>
    </row>
    <row r="11" spans="1:10" x14ac:dyDescent="0.3">
      <c r="A11" s="20">
        <f t="shared" si="0"/>
        <v>1.7000000000000006</v>
      </c>
      <c r="B11" s="1" t="s">
        <v>21</v>
      </c>
      <c r="C11" s="61">
        <f>(AVERAGE('Financial Statements'!B39,'Financial Statements'!C39)/'Financial Statements'!B7)*365</f>
        <v>24.39192826231098</v>
      </c>
      <c r="D11" s="61">
        <f>(AVERAGE('Financial Statements'!C39,'Financial Statements'!D39)/'Financial Statements'!C7)*365</f>
        <v>23.384656507233121</v>
      </c>
      <c r="E11" s="61">
        <f>(AVERAGE('Financial Statements'!D39,'Financial Statements'!E39)/'Financial Statements'!D7)*365</f>
        <v>27.013931836326226</v>
      </c>
    </row>
    <row r="12" spans="1:10" x14ac:dyDescent="0.3">
      <c r="A12" s="20">
        <f t="shared" si="0"/>
        <v>1.8000000000000007</v>
      </c>
      <c r="B12" s="1" t="s">
        <v>22</v>
      </c>
      <c r="C12" s="61">
        <f>C9+C11-C10</f>
        <v>-28.200740401907055</v>
      </c>
      <c r="D12" s="61">
        <f t="shared" ref="D12:E12" si="1">D9+D11-D10</f>
        <v>-28.53281381384538</v>
      </c>
      <c r="E12" s="61">
        <f t="shared" si="1"/>
        <v>-33.536794484541417</v>
      </c>
    </row>
    <row r="13" spans="1:10" x14ac:dyDescent="0.3">
      <c r="A13" s="20">
        <f t="shared" si="0"/>
        <v>1.9000000000000008</v>
      </c>
      <c r="B13" s="1" t="s">
        <v>23</v>
      </c>
      <c r="C13" s="61">
        <f>(('Financial Statements'!B40-'Financial Statements'!B51)/'Financial Statements'!B7)*100</f>
        <v>3.0379079002716365</v>
      </c>
      <c r="D13" s="61">
        <f>(('Financial Statements'!C40-'Financial Statements'!C51)/'Financial Statements'!C7)*100</f>
        <v>2.8812256587958966</v>
      </c>
      <c r="E13" s="61">
        <f>(('Financial Statements'!D40-'Financial Statements'!D51)/'Financial Statements'!D7)*100</f>
        <v>1.3009793889782195</v>
      </c>
    </row>
    <row r="14" spans="1:10" x14ac:dyDescent="0.3">
      <c r="A14" s="20"/>
      <c r="B14" s="17" t="s">
        <v>24</v>
      </c>
      <c r="C14" s="63">
        <f>'Financial Statements'!B40-'Financial Statements'!B51</f>
        <v>8522</v>
      </c>
      <c r="D14" s="63">
        <f>'Financial Statements'!C40-'Financial Statements'!C51</f>
        <v>6710</v>
      </c>
      <c r="E14" s="63">
        <f>'Financial Statements'!D40-'Financial Statements'!D51</f>
        <v>2314</v>
      </c>
    </row>
    <row r="15" spans="1:10" x14ac:dyDescent="0.3">
      <c r="A15" s="20"/>
    </row>
    <row r="16" spans="1:10" x14ac:dyDescent="0.3">
      <c r="A16" s="20">
        <f>+A4+1</f>
        <v>2</v>
      </c>
      <c r="B16" s="21" t="s">
        <v>25</v>
      </c>
    </row>
    <row r="17" spans="1:5" x14ac:dyDescent="0.3">
      <c r="A17" s="20">
        <f>+A16+0.1</f>
        <v>2.1</v>
      </c>
      <c r="B17" s="1" t="s">
        <v>11</v>
      </c>
      <c r="C17" s="61">
        <f>(('Financial Statements'!B7-'Financial Statements'!B9)/'Financial Statements'!B7)</f>
        <v>0.40990011478600608</v>
      </c>
      <c r="D17" s="61">
        <f>(('Financial Statements'!C7-'Financial Statements'!C9)/'Financial Statements'!C7)</f>
        <v>0.40247416128852193</v>
      </c>
      <c r="E17" s="61">
        <f>(('Financial Statements'!D7-'Financial Statements'!D9)/'Financial Statements'!D7)</f>
        <v>0.3706835482891615</v>
      </c>
    </row>
    <row r="18" spans="1:5" x14ac:dyDescent="0.3">
      <c r="A18" s="20">
        <f>+A17+0.1</f>
        <v>2.2000000000000002</v>
      </c>
      <c r="B18" s="1" t="s">
        <v>26</v>
      </c>
      <c r="C18" s="61">
        <f>('Financial Statements'!B16+'Financial Statements'!B75)/'Financial Statements'!B7</f>
        <v>0.12950855904349748</v>
      </c>
      <c r="D18" s="61">
        <f>('Financial Statements'!C16+'Financial Statements'!C75)/'Financial Statements'!C7</f>
        <v>0.11920802792770743</v>
      </c>
      <c r="E18" s="61">
        <f>('Financial Statements'!D16+'Financial Statements'!D75)/'Financial Statements'!D7</f>
        <v>8.7616520301800227E-2</v>
      </c>
    </row>
    <row r="19" spans="1:5" x14ac:dyDescent="0.3">
      <c r="A19" s="20"/>
      <c r="B19" s="17" t="s">
        <v>27</v>
      </c>
      <c r="C19">
        <f>'Financial Statements'!B16+'Financial Statements'!B75</f>
        <v>36330</v>
      </c>
      <c r="D19">
        <f>'Financial Statements'!C16+'Financial Statements'!C75</f>
        <v>27762</v>
      </c>
      <c r="E19">
        <f>'Financial Statements'!D16+'Financial Statements'!D75</f>
        <v>15584</v>
      </c>
    </row>
    <row r="20" spans="1:5" x14ac:dyDescent="0.3">
      <c r="A20" s="20">
        <f>+A18+0.1</f>
        <v>2.3000000000000003</v>
      </c>
      <c r="B20" s="1" t="s">
        <v>28</v>
      </c>
      <c r="C20" s="61">
        <f>C21/'Financial Statements'!B7</f>
        <v>5.1835506662579051E-2</v>
      </c>
      <c r="D20" s="61">
        <f>D21/'Financial Statements'!C7</f>
        <v>5.3334879147397665E-2</v>
      </c>
      <c r="E20" s="61">
        <f>E21/'Financial Statements'!D7</f>
        <v>2.3084794170892695E-2</v>
      </c>
    </row>
    <row r="21" spans="1:5" x14ac:dyDescent="0.3">
      <c r="A21" s="20"/>
      <c r="B21" s="17" t="s">
        <v>29</v>
      </c>
      <c r="C21">
        <f>'Financial Statements'!B16</f>
        <v>14541</v>
      </c>
      <c r="D21">
        <f>'Financial Statements'!C16</f>
        <v>12421</v>
      </c>
      <c r="E21">
        <f>'Financial Statements'!D16</f>
        <v>4106</v>
      </c>
    </row>
    <row r="22" spans="1:5" x14ac:dyDescent="0.3">
      <c r="A22" s="20">
        <f>+A20+0.1</f>
        <v>2.4000000000000004</v>
      </c>
      <c r="B22" s="1" t="s">
        <v>30</v>
      </c>
      <c r="C22" s="61">
        <f>'Financial Statements'!B24/'Financial Statements'!B7</f>
        <v>4.1308703060722513E-2</v>
      </c>
      <c r="D22" s="61">
        <f>'Financial Statements'!C24/'Financial Statements'!C7</f>
        <v>4.3252736305590261E-2</v>
      </c>
      <c r="E22" s="61">
        <f>'Financial Statements'!D24/'Financial Statements'!D7</f>
        <v>1.7052162864178651E-2</v>
      </c>
    </row>
    <row r="23" spans="1:5" x14ac:dyDescent="0.3">
      <c r="A23" s="20"/>
    </row>
    <row r="24" spans="1:5" x14ac:dyDescent="0.3">
      <c r="A24" s="20">
        <f>+A16+1</f>
        <v>3</v>
      </c>
      <c r="B24" s="9" t="s">
        <v>31</v>
      </c>
    </row>
    <row r="25" spans="1:5" x14ac:dyDescent="0.3">
      <c r="A25" s="20">
        <f>+A24+0.1</f>
        <v>3.1</v>
      </c>
      <c r="B25" s="1" t="s">
        <v>32</v>
      </c>
      <c r="C25" s="61">
        <f>'Financial Statements'!B53/'Financial Statements'!B66</f>
        <v>0.37728005156300354</v>
      </c>
      <c r="D25" s="61">
        <f>'Financial Statements'!C53/'Financial Statements'!C66</f>
        <v>0.53950722175021237</v>
      </c>
      <c r="E25" s="61">
        <f>'Financial Statements'!D53/'Financial Statements'!D66</f>
        <v>0.89295896640080841</v>
      </c>
    </row>
    <row r="26" spans="1:5" x14ac:dyDescent="0.3">
      <c r="A26" s="20">
        <f t="shared" ref="A26:A30" si="2">+A25+0.1</f>
        <v>3.2</v>
      </c>
      <c r="B26" s="1" t="s">
        <v>33</v>
      </c>
      <c r="C26" s="61">
        <f>'Financial Statements'!B53/'Financial Statements'!B45</f>
        <v>0.10394764881375196</v>
      </c>
      <c r="D26" s="61">
        <f>'Financial Statements'!C53/'Financial Statements'!C45</f>
        <v>0.14445305198957256</v>
      </c>
      <c r="E26" s="61">
        <f>'Financial Statements'!D53/'Financial Statements'!D45</f>
        <v>0.18843195491584799</v>
      </c>
    </row>
    <row r="27" spans="1:5" x14ac:dyDescent="0.3">
      <c r="A27" s="20">
        <f t="shared" si="2"/>
        <v>3.3000000000000003</v>
      </c>
      <c r="B27" s="1" t="s">
        <v>34</v>
      </c>
      <c r="C27" s="61">
        <f>'Financial Statements'!B53/('Financial Statements'!B53+'Financial Statements'!B66)</f>
        <v>0.27393125394856915</v>
      </c>
      <c r="D27" s="61">
        <f>'Financial Statements'!C53/('Financial Statements'!C53+'Financial Statements'!C66)</f>
        <v>0.35044150110375277</v>
      </c>
      <c r="E27" s="61">
        <f>'Financial Statements'!D53/('Financial Statements'!D53+'Financial Statements'!D66)</f>
        <v>0.47172653092351102</v>
      </c>
    </row>
    <row r="28" spans="1:5" x14ac:dyDescent="0.3">
      <c r="A28" s="20">
        <f t="shared" si="2"/>
        <v>3.4000000000000004</v>
      </c>
      <c r="B28" s="1" t="s">
        <v>35</v>
      </c>
      <c r="C28" s="61">
        <f>'Financial Statements'!B16/'Financial Statements'!B104</f>
        <v>16.618285714285715</v>
      </c>
      <c r="D28" s="61">
        <f>'Financial Statements'!C16/'Financial Statements'!C104</f>
        <v>14.544496487119439</v>
      </c>
      <c r="E28" s="61">
        <f>'Financial Statements'!D16/'Financial Statements'!D104</f>
        <v>12.518292682926829</v>
      </c>
    </row>
    <row r="29" spans="1:5" x14ac:dyDescent="0.3">
      <c r="A29" s="20">
        <f t="shared" si="2"/>
        <v>3.5000000000000004</v>
      </c>
      <c r="B29" s="1" t="s">
        <v>36</v>
      </c>
      <c r="C29" s="61">
        <f>'Financial Statements'!B21/('Financial Statements'!B54+'Financial Statements'!B104)</f>
        <v>1.0712862179978537</v>
      </c>
      <c r="D29" s="61">
        <f>'Financial Statements'!C21/('Financial Statements'!C54+'Financial Statements'!C104)</f>
        <v>0.40121851284426552</v>
      </c>
      <c r="E29" s="61">
        <f>'Financial Statements'!D21/('Financial Statements'!D54+'Financial Statements'!D104)</f>
        <v>0.17866028258930666</v>
      </c>
    </row>
    <row r="30" spans="1:5" x14ac:dyDescent="0.3">
      <c r="A30" s="20">
        <f t="shared" si="2"/>
        <v>3.6000000000000005</v>
      </c>
      <c r="B30" s="1" t="s">
        <v>37</v>
      </c>
      <c r="C30" s="61">
        <f>C31/('Financial Statements'!B29*100)</f>
        <v>0.43</v>
      </c>
      <c r="D30" s="61">
        <f>D31/('Financial Statements'!C29*100)</f>
        <v>0.35720739219712527</v>
      </c>
      <c r="E30" s="61">
        <f>E31/('Financial Statements'!D29*100)</f>
        <v>0.44454166666666667</v>
      </c>
    </row>
    <row r="31" spans="1:5" x14ac:dyDescent="0.3">
      <c r="A31" s="20"/>
      <c r="B31" s="17" t="s">
        <v>38</v>
      </c>
      <c r="C31">
        <f>'Financial Statements'!B86+'Financial Statements'!B88+'Financial Statements'!B95+'Financial Statements'!B96</f>
        <v>21242</v>
      </c>
      <c r="D31">
        <f>'Financial Statements'!C86+'Financial Statements'!C88+'Financial Statements'!C95+'Financial Statements'!C96</f>
        <v>17396</v>
      </c>
      <c r="E31">
        <f>'Financial Statements'!D86+'Financial Statements'!D88+'Financial Statements'!D95+'Financial Statements'!D96</f>
        <v>21338</v>
      </c>
    </row>
    <row r="32" spans="1:5" x14ac:dyDescent="0.3">
      <c r="A32" s="20"/>
    </row>
    <row r="33" spans="1:5" x14ac:dyDescent="0.3">
      <c r="A33" s="20">
        <f>+A24+1</f>
        <v>4</v>
      </c>
      <c r="B33" s="21" t="s">
        <v>39</v>
      </c>
    </row>
    <row r="34" spans="1:5" x14ac:dyDescent="0.3">
      <c r="A34" s="20">
        <f>+A33+0.1</f>
        <v>4.0999999999999996</v>
      </c>
      <c r="B34" s="1" t="s">
        <v>40</v>
      </c>
      <c r="C34" s="61">
        <f>'Financial Statements'!B7/'Financial Statements'!B45</f>
        <v>1.2453917459866459</v>
      </c>
      <c r="D34" s="61">
        <f>'Financial Statements'!C7/'Financial Statements'!C45</f>
        <v>1.431846687324775</v>
      </c>
      <c r="E34" s="61">
        <f>'Financial Statements'!D7/'Financial Statements'!D45</f>
        <v>1.3545503008148656</v>
      </c>
    </row>
    <row r="35" spans="1:5" x14ac:dyDescent="0.3">
      <c r="A35" s="20">
        <f t="shared" ref="A35:A37" si="3">+A34+0.1</f>
        <v>4.1999999999999993</v>
      </c>
      <c r="B35" s="1" t="s">
        <v>41</v>
      </c>
      <c r="C35" s="61">
        <f>'Financial Statements'!B7/'Financial Statements'!B41</f>
        <v>3.8583591224812599</v>
      </c>
      <c r="D35" s="61">
        <f>'Financial Statements'!C7/'Financial Statements'!C41</f>
        <v>3.7685809990776251</v>
      </c>
      <c r="E35" s="61">
        <f>'Financial Statements'!D7/'Financial Statements'!D41</f>
        <v>3.6398723038513485</v>
      </c>
    </row>
    <row r="36" spans="1:5" x14ac:dyDescent="0.3">
      <c r="A36" s="20">
        <f t="shared" si="3"/>
        <v>4.2999999999999989</v>
      </c>
      <c r="B36" s="1" t="s">
        <v>42</v>
      </c>
      <c r="C36" s="61">
        <f>'Financial Statements'!B9/'Financial Statements'!B38</f>
        <v>8.0761086988339752</v>
      </c>
      <c r="D36" s="61">
        <f>'Financial Statements'!C9/'Financial Statements'!C38</f>
        <v>8.1027134039827651</v>
      </c>
      <c r="E36" s="61">
        <f>'Financial Statements'!D9/'Financial Statements'!D38</f>
        <v>6.9753848071290587</v>
      </c>
    </row>
    <row r="37" spans="1:5" x14ac:dyDescent="0.3">
      <c r="A37" s="20">
        <f t="shared" si="3"/>
        <v>4.3999999999999986</v>
      </c>
      <c r="B37" s="1" t="s">
        <v>43</v>
      </c>
      <c r="C37" s="62">
        <f>'Financial Statements'!B24/'Financial Statements'!B45</f>
        <v>5.1445517829237106E-2</v>
      </c>
      <c r="D37" s="62">
        <f>'Financial Statements'!C24/'Financial Statements'!C45</f>
        <v>6.1931287196891449E-2</v>
      </c>
      <c r="E37" s="62">
        <f>'Financial Statements'!D24/'Financial Statements'!D45</f>
        <v>2.3098012337217273E-2</v>
      </c>
    </row>
    <row r="38" spans="1:5" x14ac:dyDescent="0.3">
      <c r="A38" s="20"/>
    </row>
    <row r="39" spans="1:5" x14ac:dyDescent="0.3">
      <c r="A39" s="20">
        <f>+A33+1</f>
        <v>5</v>
      </c>
      <c r="B39" s="21" t="s">
        <v>44</v>
      </c>
    </row>
    <row r="40" spans="1:5" x14ac:dyDescent="0.3">
      <c r="A40" s="20">
        <f>+A39+0.1</f>
        <v>5.0999999999999996</v>
      </c>
      <c r="B40" s="1" t="s">
        <v>45</v>
      </c>
      <c r="C40" s="61">
        <f>94.9/'Financial Statements'!B26</f>
        <v>4.0451832907075875</v>
      </c>
      <c r="D40" s="61">
        <f>75.1/'Financial Statements'!C26</f>
        <v>3.6315280464216633</v>
      </c>
      <c r="E40" s="61">
        <f>58.47/'Financial Statements'!D26</f>
        <v>9.2515822784810116</v>
      </c>
    </row>
    <row r="41" spans="1:5" x14ac:dyDescent="0.3">
      <c r="A41" s="20">
        <f t="shared" ref="A41:A44" si="4">+A40+0.1</f>
        <v>5.1999999999999993</v>
      </c>
      <c r="B41" s="17" t="s">
        <v>46</v>
      </c>
      <c r="C41">
        <f>'Financial Statements'!B26</f>
        <v>23.46</v>
      </c>
      <c r="D41">
        <f>'Financial Statements'!C26</f>
        <v>20.68</v>
      </c>
      <c r="E41">
        <f>'Financial Statements'!D26</f>
        <v>6.32</v>
      </c>
    </row>
    <row r="42" spans="1:5" x14ac:dyDescent="0.3">
      <c r="A42" s="20">
        <f t="shared" si="4"/>
        <v>5.2999999999999989</v>
      </c>
      <c r="B42" s="1" t="s">
        <v>47</v>
      </c>
      <c r="C42" s="61">
        <f>94.9/('Financial Statements'!B66/('Financial Statements'!B29*100))</f>
        <v>75.540766999677743</v>
      </c>
      <c r="D42" s="61">
        <f>94.9/('Financial Statements'!C66/('Financial Statements'!C29*100))</f>
        <v>106.12482490987163</v>
      </c>
      <c r="E42" s="61">
        <f>94.9/('Financial Statements'!D66/('Financial Statements'!D29*100))</f>
        <v>164.39424013858314</v>
      </c>
    </row>
    <row r="43" spans="1:5" x14ac:dyDescent="0.3">
      <c r="A43" s="20">
        <f t="shared" si="4"/>
        <v>5.3999999999999986</v>
      </c>
      <c r="B43" s="17" t="s">
        <v>48</v>
      </c>
      <c r="C43" s="61">
        <f>'Financial Statements'!B66/('Financial Statements'!B29*10)</f>
        <v>12.562753036437247</v>
      </c>
      <c r="D43" s="61">
        <f>'Financial Statements'!C66/('Financial Statements'!C29*100)</f>
        <v>0.89422997946611915</v>
      </c>
      <c r="E43" s="61">
        <f>'Financial Statements'!D66/('Financial Statements'!D29*100)</f>
        <v>0.57727083333333329</v>
      </c>
    </row>
    <row r="44" spans="1:5" x14ac:dyDescent="0.3">
      <c r="A44" s="20">
        <f t="shared" si="4"/>
        <v>5.4999999999999982</v>
      </c>
      <c r="B44" s="1" t="s">
        <v>49</v>
      </c>
      <c r="C44" s="23" t="s">
        <v>82</v>
      </c>
      <c r="D44" s="23" t="s">
        <v>82</v>
      </c>
      <c r="E44" s="23" t="s">
        <v>82</v>
      </c>
    </row>
    <row r="45" spans="1:5" x14ac:dyDescent="0.3">
      <c r="A45" s="20"/>
      <c r="B45" s="17" t="s">
        <v>50</v>
      </c>
      <c r="C45" s="23" t="s">
        <v>82</v>
      </c>
      <c r="D45" s="23" t="s">
        <v>82</v>
      </c>
      <c r="E45" s="23" t="s">
        <v>82</v>
      </c>
    </row>
    <row r="46" spans="1:5" x14ac:dyDescent="0.3">
      <c r="A46" s="20">
        <f>+A44+0.1</f>
        <v>5.5999999999999979</v>
      </c>
      <c r="B46" s="1" t="s">
        <v>51</v>
      </c>
      <c r="C46" s="23" t="s">
        <v>82</v>
      </c>
      <c r="D46" s="23" t="s">
        <v>82</v>
      </c>
      <c r="E46" s="23" t="s">
        <v>82</v>
      </c>
    </row>
    <row r="47" spans="1:5" x14ac:dyDescent="0.3">
      <c r="A47" s="20">
        <f t="shared" ref="A47:A50" si="5">+A45+0.1</f>
        <v>0.1</v>
      </c>
      <c r="B47" s="1" t="s">
        <v>52</v>
      </c>
      <c r="C47" s="67">
        <f>'Financial Statements'!B24/'Financial Statements'!B66</f>
        <v>0.1867225265871737</v>
      </c>
      <c r="D47" s="67">
        <f>'Financial Statements'!C24/'Financial Statements'!C66</f>
        <v>0.231302670555007</v>
      </c>
      <c r="E47" s="67">
        <f>'Financial Statements'!D24/'Financial Statements'!D66</f>
        <v>0.10945902053484427</v>
      </c>
    </row>
    <row r="48" spans="1:5" x14ac:dyDescent="0.3">
      <c r="A48" s="20">
        <f t="shared" si="5"/>
        <v>5.6999999999999975</v>
      </c>
      <c r="B48" s="1" t="s">
        <v>53</v>
      </c>
      <c r="C48" s="67">
        <f>'Financial Statements'!B16/('Financial Statements'!B45-'Financial Statements'!B51)</f>
        <v>0.1058019732821095</v>
      </c>
      <c r="D48" s="67">
        <f>'Financial Statements'!C16/('Financial Statements'!C45-'Financial Statements'!C51)</f>
        <v>0.13177801118219337</v>
      </c>
      <c r="E48" s="67">
        <f>'Financial Statements'!D16/('Financial Statements'!D45-'Financial Statements'!D51)</f>
        <v>5.5919484658231988E-2</v>
      </c>
    </row>
    <row r="49" spans="1:5" x14ac:dyDescent="0.3">
      <c r="A49" s="20">
        <f t="shared" si="5"/>
        <v>0.2</v>
      </c>
      <c r="B49" s="1" t="s">
        <v>43</v>
      </c>
      <c r="C49" s="67">
        <f>'Financial Statements'!B24/'Financial Statements'!B45</f>
        <v>5.1445517829237106E-2</v>
      </c>
      <c r="D49" s="67">
        <f>'Financial Statements'!C24/'Financial Statements'!C45</f>
        <v>6.1931287196891449E-2</v>
      </c>
      <c r="E49" s="67">
        <f>'Financial Statements'!D24/'Financial Statements'!D45</f>
        <v>2.3098012337217273E-2</v>
      </c>
    </row>
    <row r="50" spans="1:5" x14ac:dyDescent="0.3">
      <c r="A50" s="20">
        <f t="shared" si="5"/>
        <v>5.7999999999999972</v>
      </c>
      <c r="B50" s="1" t="s">
        <v>54</v>
      </c>
    </row>
    <row r="51" spans="1:5" x14ac:dyDescent="0.3">
      <c r="A51" s="20"/>
      <c r="B51" s="17" t="s">
        <v>55</v>
      </c>
      <c r="C51">
        <f>(94.9*'Financial Statements'!B29)+'Financial Statements'!B53-'Financial Statements'!B36</f>
        <v>34202.600000000006</v>
      </c>
      <c r="D51">
        <f>(75.1*'Financial Statements'!C29)+'Financial Statements'!C53-'Financial Statements'!C36</f>
        <v>28318.699999999997</v>
      </c>
      <c r="E51">
        <f>(58.47*'Financial Statements'!D29)+'Financial Statements'!D53-'Financial Statements'!D36</f>
        <v>32286.6</v>
      </c>
    </row>
  </sheetData>
  <mergeCells count="1"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C279-44DF-4E2F-B657-84077AB7CE05}">
  <dimension ref="A1:D11"/>
  <sheetViews>
    <sheetView zoomScale="85" zoomScaleNormal="85" workbookViewId="0">
      <selection sqref="A1:D11"/>
    </sheetView>
  </sheetViews>
  <sheetFormatPr defaultRowHeight="14.4" x14ac:dyDescent="0.3"/>
  <cols>
    <col min="1" max="1" width="26.6640625" style="66" customWidth="1"/>
    <col min="2" max="2" width="0.77734375" style="66" customWidth="1"/>
    <col min="3" max="3" width="0.88671875" style="66" customWidth="1"/>
    <col min="4" max="4" width="2.5546875" style="66" customWidth="1"/>
    <col min="5" max="16384" width="8.88671875" style="66"/>
  </cols>
  <sheetData>
    <row r="1" spans="1:4" x14ac:dyDescent="0.3">
      <c r="A1" s="68" t="s">
        <v>162</v>
      </c>
      <c r="B1" s="69">
        <v>2019</v>
      </c>
      <c r="C1" s="69">
        <v>2018</v>
      </c>
      <c r="D1" s="69">
        <v>2017</v>
      </c>
    </row>
    <row r="2" spans="1:4" x14ac:dyDescent="0.3">
      <c r="A2" s="70" t="s">
        <v>15</v>
      </c>
      <c r="B2" s="72">
        <v>1.0970482394205803</v>
      </c>
      <c r="C2" s="72">
        <v>1.0981123247210891</v>
      </c>
      <c r="D2" s="72">
        <v>1.039977195376881</v>
      </c>
    </row>
    <row r="3" spans="1:4" x14ac:dyDescent="0.3">
      <c r="A3" s="70" t="s">
        <v>16</v>
      </c>
      <c r="B3" s="72">
        <v>0.86362911674941922</v>
      </c>
      <c r="C3" s="72">
        <v>0.84699741194016753</v>
      </c>
      <c r="D3" s="72">
        <v>0.76274553841369663</v>
      </c>
    </row>
    <row r="4" spans="1:4" x14ac:dyDescent="0.3">
      <c r="A4" s="70" t="s">
        <v>17</v>
      </c>
      <c r="B4" s="72">
        <v>0.62657723317997538</v>
      </c>
      <c r="C4" s="72">
        <v>0.60314953721980957</v>
      </c>
      <c r="D4" s="72">
        <v>0.53532125149007481</v>
      </c>
    </row>
    <row r="5" spans="1:4" x14ac:dyDescent="0.3">
      <c r="A5" s="70" t="s">
        <v>18</v>
      </c>
      <c r="B5" s="72">
        <v>104.06948240663806</v>
      </c>
      <c r="C5" s="72">
        <v>95.903019059628249</v>
      </c>
      <c r="D5" s="72">
        <v>92.741424953959481</v>
      </c>
    </row>
    <row r="6" spans="1:4" x14ac:dyDescent="0.3">
      <c r="A6" s="70" t="s">
        <v>19</v>
      </c>
      <c r="B6" s="72">
        <v>41.531494659771894</v>
      </c>
      <c r="C6" s="72">
        <v>43.568602862973925</v>
      </c>
      <c r="D6" s="72">
        <v>52.326862258116392</v>
      </c>
    </row>
    <row r="7" spans="1:4" x14ac:dyDescent="0.3">
      <c r="A7" s="70" t="s">
        <v>20</v>
      </c>
      <c r="B7" s="72">
        <v>94.124163323989933</v>
      </c>
      <c r="C7" s="72">
        <v>95.486073184052429</v>
      </c>
      <c r="D7" s="72">
        <v>112.87758857898403</v>
      </c>
    </row>
    <row r="8" spans="1:4" x14ac:dyDescent="0.3">
      <c r="A8" s="70" t="s">
        <v>21</v>
      </c>
      <c r="B8" s="72">
        <v>24.39192826231098</v>
      </c>
      <c r="C8" s="72">
        <v>23.384656507233121</v>
      </c>
      <c r="D8" s="72">
        <v>27.013931836326226</v>
      </c>
    </row>
    <row r="9" spans="1:4" x14ac:dyDescent="0.3">
      <c r="A9" s="70" t="s">
        <v>22</v>
      </c>
      <c r="B9" s="72">
        <v>-28.200740401907101</v>
      </c>
      <c r="C9" s="72">
        <v>-28.53281381384538</v>
      </c>
      <c r="D9" s="72">
        <v>-33.536794484541417</v>
      </c>
    </row>
    <row r="10" spans="1:4" x14ac:dyDescent="0.3">
      <c r="A10" s="70" t="s">
        <v>23</v>
      </c>
      <c r="B10" s="72">
        <v>3.0379079002716365</v>
      </c>
      <c r="C10" s="72">
        <v>2.8812256587958966</v>
      </c>
      <c r="D10" s="72">
        <v>1.3009793889782195</v>
      </c>
    </row>
    <row r="11" spans="1:4" x14ac:dyDescent="0.3">
      <c r="A11" s="70" t="s">
        <v>24</v>
      </c>
      <c r="B11" s="72">
        <v>8522</v>
      </c>
      <c r="C11" s="72">
        <v>6710</v>
      </c>
      <c r="D11" s="72">
        <v>2314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5493-9E07-489D-B48A-3F12B5093FF7}">
  <dimension ref="A1:D5"/>
  <sheetViews>
    <sheetView workbookViewId="0">
      <selection activeCell="B12" sqref="B12"/>
    </sheetView>
  </sheetViews>
  <sheetFormatPr defaultRowHeight="14.4" x14ac:dyDescent="0.3"/>
  <cols>
    <col min="1" max="1" width="13.109375" style="66" bestFit="1" customWidth="1"/>
    <col min="2" max="16384" width="8.88671875" style="66"/>
  </cols>
  <sheetData>
    <row r="1" spans="1:4" x14ac:dyDescent="0.3">
      <c r="A1" s="68" t="s">
        <v>162</v>
      </c>
      <c r="B1" s="69">
        <v>2019</v>
      </c>
      <c r="C1" s="69">
        <v>2018</v>
      </c>
      <c r="D1" s="69">
        <v>2017</v>
      </c>
    </row>
    <row r="2" spans="1:4" x14ac:dyDescent="0.3">
      <c r="A2" s="70" t="s">
        <v>11</v>
      </c>
      <c r="B2" s="71">
        <v>0.40990011478600608</v>
      </c>
      <c r="C2" s="71">
        <v>0.40247416128852193</v>
      </c>
      <c r="D2" s="71">
        <v>0.3706835482891615</v>
      </c>
    </row>
    <row r="3" spans="1:4" x14ac:dyDescent="0.3">
      <c r="A3" s="70" t="s">
        <v>26</v>
      </c>
      <c r="B3" s="71">
        <v>0.12950855904349748</v>
      </c>
      <c r="C3" s="71">
        <v>0.11920802792770743</v>
      </c>
      <c r="D3" s="71">
        <v>8.7616520301800227E-2</v>
      </c>
    </row>
    <row r="4" spans="1:4" x14ac:dyDescent="0.3">
      <c r="A4" s="70" t="s">
        <v>28</v>
      </c>
      <c r="B4" s="71">
        <v>5.1835506662579051E-2</v>
      </c>
      <c r="C4" s="71">
        <v>5.3334879147397665E-2</v>
      </c>
      <c r="D4" s="71">
        <v>2.3084794170892695E-2</v>
      </c>
    </row>
    <row r="5" spans="1:4" x14ac:dyDescent="0.3">
      <c r="A5" s="70" t="s">
        <v>30</v>
      </c>
      <c r="B5" s="71">
        <v>4.1308703060722513E-2</v>
      </c>
      <c r="C5" s="71">
        <v>4.3252736305590261E-2</v>
      </c>
      <c r="D5" s="71">
        <v>1.7052162864178651E-2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8F21-130B-42DA-A338-10FC104CEA08}">
  <dimension ref="A1:D8"/>
  <sheetViews>
    <sheetView workbookViewId="0">
      <selection sqref="A1:D1"/>
    </sheetView>
  </sheetViews>
  <sheetFormatPr defaultRowHeight="14.4" x14ac:dyDescent="0.3"/>
  <cols>
    <col min="1" max="1" width="26.6640625" style="66" bestFit="1" customWidth="1"/>
    <col min="2" max="4" width="10.5546875" style="66" bestFit="1" customWidth="1"/>
    <col min="5" max="16384" width="8.88671875" style="66"/>
  </cols>
  <sheetData>
    <row r="1" spans="1:4" x14ac:dyDescent="0.3">
      <c r="A1" s="68" t="s">
        <v>162</v>
      </c>
      <c r="B1" s="69">
        <v>2019</v>
      </c>
      <c r="C1" s="69">
        <v>2018</v>
      </c>
      <c r="D1" s="69">
        <v>2017</v>
      </c>
    </row>
    <row r="2" spans="1:4" x14ac:dyDescent="0.3">
      <c r="A2" s="70" t="s">
        <v>32</v>
      </c>
      <c r="B2" s="73">
        <v>0.37728005156300354</v>
      </c>
      <c r="C2" s="73">
        <v>0.53950722175021237</v>
      </c>
      <c r="D2" s="73">
        <v>0.89295896640080841</v>
      </c>
    </row>
    <row r="3" spans="1:4" x14ac:dyDescent="0.3">
      <c r="A3" s="70" t="s">
        <v>33</v>
      </c>
      <c r="B3" s="73">
        <v>0.10394764881375196</v>
      </c>
      <c r="C3" s="73">
        <v>0.14445305198957256</v>
      </c>
      <c r="D3" s="73">
        <v>0.18843195491584799</v>
      </c>
    </row>
    <row r="4" spans="1:4" x14ac:dyDescent="0.3">
      <c r="A4" s="70" t="s">
        <v>34</v>
      </c>
      <c r="B4" s="73">
        <v>0.27393125394856915</v>
      </c>
      <c r="C4" s="73">
        <v>0.35044150110375277</v>
      </c>
      <c r="D4" s="73">
        <v>0.47172653092351102</v>
      </c>
    </row>
    <row r="5" spans="1:4" x14ac:dyDescent="0.3">
      <c r="A5" s="70" t="s">
        <v>35</v>
      </c>
      <c r="B5" s="73">
        <v>16.618285714285715</v>
      </c>
      <c r="C5" s="73">
        <v>14.544496487119439</v>
      </c>
      <c r="D5" s="73">
        <v>12.518292682926829</v>
      </c>
    </row>
    <row r="6" spans="1:4" x14ac:dyDescent="0.3">
      <c r="A6" s="70" t="s">
        <v>36</v>
      </c>
      <c r="B6" s="73">
        <v>1.0712862179978537</v>
      </c>
      <c r="C6" s="73">
        <v>0.40121851284426552</v>
      </c>
      <c r="D6" s="73">
        <v>0.17866028258930666</v>
      </c>
    </row>
    <row r="7" spans="1:4" x14ac:dyDescent="0.3">
      <c r="A7" s="70" t="s">
        <v>37</v>
      </c>
      <c r="B7" s="73">
        <v>0.43</v>
      </c>
      <c r="C7" s="73">
        <v>0.35720739219712527</v>
      </c>
      <c r="D7" s="73">
        <v>0.44454166666666667</v>
      </c>
    </row>
    <row r="8" spans="1:4" x14ac:dyDescent="0.3">
      <c r="A8" s="70" t="s">
        <v>38</v>
      </c>
      <c r="B8" s="73">
        <v>21242</v>
      </c>
      <c r="C8" s="73">
        <v>17396</v>
      </c>
      <c r="D8" s="73">
        <v>21338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2EFF-400E-4AD4-B58F-9F80525F7141}">
  <dimension ref="A1:D5"/>
  <sheetViews>
    <sheetView tabSelected="1" workbookViewId="0">
      <selection activeCell="R9" sqref="R9"/>
    </sheetView>
  </sheetViews>
  <sheetFormatPr defaultRowHeight="14.4" x14ac:dyDescent="0.3"/>
  <cols>
    <col min="1" max="1" width="19.77734375" style="66" bestFit="1" customWidth="1"/>
    <col min="2" max="16384" width="8.88671875" style="66"/>
  </cols>
  <sheetData>
    <row r="1" spans="1:4" x14ac:dyDescent="0.3">
      <c r="A1" s="68" t="s">
        <v>162</v>
      </c>
      <c r="B1" s="69">
        <v>2019</v>
      </c>
      <c r="C1" s="69">
        <v>2018</v>
      </c>
      <c r="D1" s="69">
        <v>2017</v>
      </c>
    </row>
    <row r="2" spans="1:4" x14ac:dyDescent="0.3">
      <c r="A2" s="70" t="s">
        <v>40</v>
      </c>
      <c r="B2" s="72">
        <v>1.2453917459866459</v>
      </c>
      <c r="C2" s="72">
        <v>1.431846687324775</v>
      </c>
      <c r="D2" s="72">
        <v>1.3545503008148656</v>
      </c>
    </row>
    <row r="3" spans="1:4" x14ac:dyDescent="0.3">
      <c r="A3" s="70" t="s">
        <v>41</v>
      </c>
      <c r="B3" s="72">
        <v>3.8583591224812599</v>
      </c>
      <c r="C3" s="72">
        <v>3.7685809990776251</v>
      </c>
      <c r="D3" s="72">
        <v>3.6398723038513485</v>
      </c>
    </row>
    <row r="4" spans="1:4" x14ac:dyDescent="0.3">
      <c r="A4" s="70" t="s">
        <v>42</v>
      </c>
      <c r="B4" s="72">
        <v>8.0761086988339752</v>
      </c>
      <c r="C4" s="72">
        <v>8.1027134039827651</v>
      </c>
      <c r="D4" s="72">
        <v>6.9753848071290587</v>
      </c>
    </row>
    <row r="5" spans="1:4" x14ac:dyDescent="0.3">
      <c r="A5" s="70" t="s">
        <v>43</v>
      </c>
      <c r="B5" s="71">
        <v>5.1445517829237106E-2</v>
      </c>
      <c r="C5" s="71">
        <v>6.1931287196891449E-2</v>
      </c>
      <c r="D5" s="71">
        <v>2.3098012337217273E-2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Financial Statements</vt:lpstr>
      <vt:lpstr>List of Ratios</vt:lpstr>
      <vt:lpstr>Liquidity</vt:lpstr>
      <vt:lpstr>Profitability</vt:lpstr>
      <vt:lpstr>Solvency or debt management</vt:lpstr>
      <vt:lpstr>Asset utilization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Vivek Khanna</cp:lastModifiedBy>
  <dcterms:created xsi:type="dcterms:W3CDTF">2020-05-19T16:15:53Z</dcterms:created>
  <dcterms:modified xsi:type="dcterms:W3CDTF">2024-08-25T17:31:21Z</dcterms:modified>
</cp:coreProperties>
</file>