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francescobrassesco/Downloads/"/>
    </mc:Choice>
  </mc:AlternateContent>
  <xr:revisionPtr revIDLastSave="0" documentId="13_ncr:1_{09C252AE-D290-5740-9ABE-5E0EE87DEE71}" xr6:coauthVersionLast="47" xr6:coauthVersionMax="47" xr10:uidLastSave="{00000000-0000-0000-0000-000000000000}"/>
  <bookViews>
    <workbookView xWindow="0" yWindow="740" windowWidth="29400" windowHeight="1726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4" i="3" l="1"/>
  <c r="E84" i="3"/>
  <c r="D85" i="3"/>
  <c r="E85" i="3"/>
  <c r="C85" i="3"/>
  <c r="C84" i="3"/>
  <c r="D83" i="3"/>
  <c r="E83" i="3"/>
  <c r="C83" i="3"/>
  <c r="D73" i="3"/>
  <c r="E73" i="3"/>
  <c r="D74" i="3"/>
  <c r="E74" i="3"/>
  <c r="D76" i="3"/>
  <c r="E76" i="3"/>
  <c r="D77" i="3"/>
  <c r="E77" i="3"/>
  <c r="D78" i="3"/>
  <c r="E78" i="3"/>
  <c r="D79" i="3"/>
  <c r="E79" i="3"/>
  <c r="D80" i="3"/>
  <c r="E80" i="3"/>
  <c r="B75" i="3"/>
  <c r="B74" i="3"/>
  <c r="C74" i="3"/>
  <c r="B76" i="3"/>
  <c r="C76" i="3"/>
  <c r="B77" i="3"/>
  <c r="C77" i="3"/>
  <c r="B78" i="3"/>
  <c r="C78" i="3"/>
  <c r="B79" i="3"/>
  <c r="C79" i="3"/>
  <c r="B80" i="3"/>
  <c r="C80" i="3"/>
  <c r="C73" i="3"/>
  <c r="B73" i="3"/>
  <c r="B57" i="3"/>
  <c r="B58" i="3"/>
  <c r="C58" i="3"/>
  <c r="D58" i="3"/>
  <c r="B59" i="3"/>
  <c r="C59" i="3"/>
  <c r="D59" i="3"/>
  <c r="B60" i="3"/>
  <c r="C60" i="3"/>
  <c r="D60" i="3"/>
  <c r="B61" i="3"/>
  <c r="C61" i="3"/>
  <c r="D61" i="3"/>
  <c r="B62" i="3"/>
  <c r="B63" i="3"/>
  <c r="C63" i="3"/>
  <c r="D63" i="3"/>
  <c r="B64" i="3"/>
  <c r="C64" i="3"/>
  <c r="D64" i="3"/>
  <c r="B65" i="3"/>
  <c r="C65" i="3"/>
  <c r="D65" i="3"/>
  <c r="B66" i="3"/>
  <c r="C66" i="3"/>
  <c r="D66" i="3"/>
  <c r="B67" i="3"/>
  <c r="C67" i="3"/>
  <c r="D67" i="3"/>
  <c r="B68" i="3"/>
  <c r="C68" i="3"/>
  <c r="D68" i="3"/>
  <c r="B69" i="3"/>
  <c r="C69" i="3"/>
  <c r="D69" i="3"/>
  <c r="B70" i="3"/>
  <c r="C70" i="3"/>
  <c r="D70" i="3"/>
  <c r="B54" i="3"/>
  <c r="C54" i="3"/>
  <c r="D54" i="3"/>
  <c r="B55" i="3"/>
  <c r="C55" i="3"/>
  <c r="D55" i="3"/>
  <c r="B56" i="3"/>
  <c r="D56" i="3"/>
  <c r="C56" i="3"/>
  <c r="E51" i="3"/>
  <c r="D34" i="3"/>
  <c r="E34" i="3"/>
  <c r="D35" i="3"/>
  <c r="E35" i="3"/>
  <c r="D36" i="3"/>
  <c r="E36" i="3"/>
  <c r="D37" i="3"/>
  <c r="D49" i="3" s="1"/>
  <c r="E37" i="3"/>
  <c r="E49" i="3" s="1"/>
  <c r="D40" i="3"/>
  <c r="E40" i="3"/>
  <c r="D41" i="3"/>
  <c r="E41" i="3"/>
  <c r="D43" i="3"/>
  <c r="D42" i="3" s="1"/>
  <c r="E43" i="3"/>
  <c r="E42" i="3" s="1"/>
  <c r="D44" i="3"/>
  <c r="E44" i="3"/>
  <c r="D45" i="3"/>
  <c r="D46" i="3" s="1"/>
  <c r="E45" i="3"/>
  <c r="E46" i="3" s="1"/>
  <c r="D47" i="3"/>
  <c r="E47" i="3"/>
  <c r="D51" i="3"/>
  <c r="C19" i="3"/>
  <c r="C51" i="3"/>
  <c r="C47" i="3"/>
  <c r="C45" i="3"/>
  <c r="C46" i="3" s="1"/>
  <c r="C44" i="3"/>
  <c r="C43" i="3"/>
  <c r="C42" i="3" s="1"/>
  <c r="C41" i="3"/>
  <c r="C40" i="3"/>
  <c r="C37" i="3"/>
  <c r="C49" i="3" s="1"/>
  <c r="C36" i="3"/>
  <c r="C35" i="3"/>
  <c r="C34" i="3"/>
  <c r="D25" i="3"/>
  <c r="E25" i="3"/>
  <c r="D26" i="3"/>
  <c r="E26" i="3"/>
  <c r="D27" i="3"/>
  <c r="E27" i="3"/>
  <c r="D28" i="3"/>
  <c r="E28" i="3"/>
  <c r="D29" i="3"/>
  <c r="E29" i="3"/>
  <c r="D31" i="3"/>
  <c r="D30" i="3" s="1"/>
  <c r="E31" i="3"/>
  <c r="E30" i="3" s="1"/>
  <c r="C31" i="3"/>
  <c r="C30" i="3" s="1"/>
  <c r="C29" i="3"/>
  <c r="C28" i="3"/>
  <c r="C27" i="3"/>
  <c r="C26" i="3"/>
  <c r="C25" i="3"/>
  <c r="D17" i="3"/>
  <c r="E17" i="3"/>
  <c r="D18" i="3"/>
  <c r="E18" i="3"/>
  <c r="D19" i="3"/>
  <c r="E19" i="3"/>
  <c r="D21" i="3"/>
  <c r="D20" i="3" s="1"/>
  <c r="E21" i="3"/>
  <c r="E20" i="3" s="1"/>
  <c r="D22" i="3"/>
  <c r="E22" i="3"/>
  <c r="C22" i="3"/>
  <c r="C21" i="3"/>
  <c r="C20" i="3" s="1"/>
  <c r="C18" i="3"/>
  <c r="C17" i="3"/>
  <c r="D5" i="3"/>
  <c r="E5" i="3"/>
  <c r="D6" i="3"/>
  <c r="E6" i="3"/>
  <c r="D7" i="3"/>
  <c r="E7" i="3"/>
  <c r="D8" i="3"/>
  <c r="E8" i="3"/>
  <c r="D9" i="3"/>
  <c r="E9" i="3"/>
  <c r="D10" i="3"/>
  <c r="E10" i="3"/>
  <c r="D11" i="3"/>
  <c r="E11" i="3"/>
  <c r="D14" i="3"/>
  <c r="D13" i="3" s="1"/>
  <c r="E14" i="3"/>
  <c r="E13" i="3" s="1"/>
  <c r="C14" i="3"/>
  <c r="C48" i="3" s="1"/>
  <c r="C11" i="3"/>
  <c r="C10" i="3"/>
  <c r="C9" i="3"/>
  <c r="C8" i="3"/>
  <c r="C7" i="3"/>
  <c r="C6" i="3"/>
  <c r="C5" i="3"/>
  <c r="D108" i="1"/>
  <c r="C108" i="1"/>
  <c r="B108" i="1"/>
  <c r="D99" i="1"/>
  <c r="C99" i="1"/>
  <c r="B99" i="1"/>
  <c r="E12" i="3" l="1"/>
  <c r="D12" i="3"/>
  <c r="C50" i="3"/>
  <c r="C12" i="3"/>
  <c r="D48" i="3"/>
  <c r="C13" i="3"/>
  <c r="D50" i="3"/>
  <c r="E48" i="3"/>
  <c r="E50" i="3"/>
  <c r="D68" i="1"/>
  <c r="C68" i="1"/>
  <c r="B68" i="1"/>
  <c r="D61" i="1"/>
  <c r="C61" i="1"/>
  <c r="B61" i="1"/>
  <c r="D56" i="1"/>
  <c r="C56" i="1"/>
  <c r="C62" i="1" s="1"/>
  <c r="B56" i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C13" i="1"/>
  <c r="C18" i="1" s="1"/>
  <c r="C20" i="1" s="1"/>
  <c r="C22" i="1" s="1"/>
  <c r="C76" i="1" s="1"/>
  <c r="C91" i="1" s="1"/>
  <c r="C109" i="1" s="1"/>
  <c r="B62" i="1"/>
  <c r="B6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<sst xmlns="http://schemas.openxmlformats.org/spreadsheetml/2006/main" count="194" uniqueCount="155">
  <si>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</si>
  <si>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</si>
  <si>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</si>
  <si>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</si>
  <si>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</si>
  <si>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</si>
  <si>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</si>
  <si>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</si>
  <si>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</si>
  <si>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</si>
  <si>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</si>
  <si>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</si>
  <si>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</si>
  <si>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</si>
  <si>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</si>
  <si>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</si>
  <si>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</si>
  <si>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</si>
  <si>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</si>
  <si>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</si>
  <si>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</si>
  <si>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</si>
  <si>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</si>
  <si>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</si>
  <si>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</si>
  <si>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</si>
  <si>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</si>
  <si>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</si>
  <si>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</si>
  <si>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</si>
  <si>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</si>
  <si>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</si>
  <si>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</si>
  <si>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</si>
  <si>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</si>
  <si>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</si>
  <si>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</si>
  <si>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</si>
  <si>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</si>
  <si>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</si>
  <si>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</si>
  <si>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</si>
  <si>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</si>
  <si>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</si>
  <si>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</si>
  <si>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</si>
  <si>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</si>
  <si>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</si>
  <si>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</si>
  <si>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</si>
  <si>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</si>
  <si>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</si>
  <si>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</si>
  <si>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</si>
  <si>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</si>
  <si>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</si>
  <si>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</si>
  <si>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</si>
  <si>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</si>
  <si>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</si>
  <si>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</si>
  <si>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</si>
  <si>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</si>
  <si>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</si>
  <si>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</si>
  <si>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</si>
  <si>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</si>
  <si>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</si>
  <si>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</si>
  <si>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</si>
  <si>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</si>
  <si>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</si>
  <si>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</si>
  <si>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</si>
  <si>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</si>
  <si>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</si>
  <si>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</si>
  <si>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</si>
  <si>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</si>
  <si>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</si>
  <si>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</si>
  <si>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</si>
  <si>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</si>
  <si>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</si>
  <si>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</si>
  <si>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</si>
  <si>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</si>
  <si>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</si>
  <si>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</si>
  <si>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</si>
  <si>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</si>
  <si>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</si>
  <si>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</si>
  <si>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</si>
  <si>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</si>
  <si>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</si>
  <si>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</si>
  <si>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</si>
  <si>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</si>
  <si>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</si>
  <si>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</si>
  <si>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</si>
  <si>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</si>
  <si>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</si>
  <si>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</si>
  <si>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</si>
  <si>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</si>
  <si>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</si>
  <si>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</si>
  <si>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</si>
  <si>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</si>
  <si>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</si>
  <si>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</si>
  <si>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</si>
  <si>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</si>
  <si>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</si>
  <si>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</si>
  <si>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</si>
  <si>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</si>
  <si>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</si>
  <si>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</si>
  <si>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</si>
  <si>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</si>
  <si>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</si>
  <si>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</si>
  <si>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</si>
  <si>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</si>
  <si>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</si>
  <si>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</si>
  <si>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</si>
  <si>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</si>
  <si>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</si>
  <si>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</si>
  <si>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</si>
  <si>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</si>
  <si>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</si>
  <si>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</si>
  <si>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</si>
  <si>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</si>
  <si>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</si>
  <si>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</si>
  <si>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</si>
  <si>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</si>
  <si>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</si>
  <si>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</si>
  <si>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</si>
  <si>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</si>
  <si>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</si>
  <si>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</si>
  <si>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</si>
  <si>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Price AAPL Wed Sep 4</t>
  </si>
  <si>
    <t>-</t>
  </si>
  <si>
    <t>Growth Rates</t>
  </si>
  <si>
    <t>Margins % of revenue</t>
  </si>
  <si>
    <t>Income Tax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</si>
</sst>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0" fontId="0" fillId="0" borderId="0" xfId="3" applyNumberFormat="1" applyFont="1"/>
    <xf numFmtId="2" fontId="0" fillId="0" borderId="0" xfId="0" applyNumberFormat="1"/>
    <xf numFmtId="2" fontId="0" fillId="0" borderId="0" xfId="3" applyNumberFormat="1" applyFont="1"/>
    <xf numFmtId="1" fontId="0" fillId="0" borderId="0" xfId="0" applyNumberFormat="1"/>
    <xf numFmtId="2" fontId="0" fillId="0" borderId="0" xfId="0" quotePrefix="1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9" fontId="0" fillId="0" borderId="0" xfId="3" applyFont="1"/>
    <xf numFmtId="0" fontId="0" fillId="0" borderId="0" xfId="0" applyAlignment="1">
      <alignment horizontal="left"/>
    </xf>
    <xf numFmtId="10" fontId="0" fillId="0" borderId="0" xfId="3" applyNumberFormat="1" applyFont="1" applyAlignment="1">
      <alignment horizontal="right" indent="1"/>
    </xf>
    <xf numFmtId="10" fontId="0" fillId="0" borderId="0" xfId="3" applyNumberFormat="1" applyFont="1" applyAlignment="1">
      <alignment horizontal="right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23" sqref="A23:A24"/>
    </sheetView>
  </sheetViews>
  <sheetFormatPr baseColWidth="10" defaultColWidth="8.83203125" defaultRowHeight="15" x14ac:dyDescent="0.2"/>
  <cols>
    <col min="1" max="1" width="104.5" customWidth="1"/>
  </cols>
  <sheetData>
    <row r="1" spans="1:1" ht="24" x14ac:dyDescent="0.3">
      <c r="A1" s="5" t="s">
        <v>87</v>
      </c>
    </row>
    <row r="3" spans="1:1" x14ac:dyDescent="0.2">
      <c r="A3" s="7" t="s">
        <v>141</v>
      </c>
    </row>
    <row r="4" spans="1:1" x14ac:dyDescent="0.2">
      <c r="A4" s="16" t="s">
        <v>88</v>
      </c>
    </row>
    <row r="5" spans="1:1" x14ac:dyDescent="0.2">
      <c r="A5" s="7" t="s">
        <v>97</v>
      </c>
    </row>
    <row r="6" spans="1:1" x14ac:dyDescent="0.2">
      <c r="A6" s="1" t="s">
        <v>148</v>
      </c>
    </row>
    <row r="7" spans="1:1" x14ac:dyDescent="0.2">
      <c r="A7" s="1"/>
    </row>
    <row r="8" spans="1:1" x14ac:dyDescent="0.2">
      <c r="A8" s="17" t="s">
        <v>149</v>
      </c>
    </row>
    <row r="9" spans="1:1" x14ac:dyDescent="0.2">
      <c r="A9" s="1" t="s">
        <v>145</v>
      </c>
    </row>
    <row r="10" spans="1:1" x14ac:dyDescent="0.2">
      <c r="A10" s="1" t="s">
        <v>89</v>
      </c>
    </row>
    <row r="11" spans="1:1" x14ac:dyDescent="0.2">
      <c r="A11" s="1" t="s">
        <v>90</v>
      </c>
    </row>
    <row r="12" spans="1:1" x14ac:dyDescent="0.2">
      <c r="A12" s="1" t="s">
        <v>91</v>
      </c>
    </row>
    <row r="13" spans="1:1" x14ac:dyDescent="0.2">
      <c r="A13" s="1"/>
    </row>
    <row r="14" spans="1:1" x14ac:dyDescent="0.2">
      <c r="A14" s="17" t="s">
        <v>92</v>
      </c>
    </row>
    <row r="15" spans="1:1" x14ac:dyDescent="0.2">
      <c r="A15" s="1" t="s">
        <v>146</v>
      </c>
    </row>
    <row r="16" spans="1:1" x14ac:dyDescent="0.2">
      <c r="A16" s="1" t="s">
        <v>89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144</v>
      </c>
    </row>
    <row r="27" spans="1:1" x14ac:dyDescent="0.2">
      <c r="A27" s="16" t="s">
        <v>143</v>
      </c>
    </row>
    <row r="29" spans="1:1" x14ac:dyDescent="0.2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8"/>
  <sheetViews>
    <sheetView topLeftCell="A29" workbookViewId="0">
      <selection activeCell="E57" sqref="E57"/>
    </sheetView>
  </sheetViews>
  <sheetFormatPr baseColWidth="10" defaultColWidth="8.83203125" defaultRowHeight="15" x14ac:dyDescent="0.2"/>
  <cols>
    <col min="1" max="1" width="139" customWidth="1"/>
    <col min="2" max="3" width="11.5" bestFit="1" customWidth="1"/>
    <col min="4" max="4" width="11.6640625" bestFit="1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29" t="s">
        <v>1</v>
      </c>
      <c r="B2" s="29"/>
      <c r="C2" s="29"/>
      <c r="D2" s="29"/>
    </row>
    <row r="3" spans="1:10" x14ac:dyDescent="0.2">
      <c r="B3" s="28" t="s">
        <v>23</v>
      </c>
      <c r="C3" s="28"/>
      <c r="D3" s="28"/>
    </row>
    <row r="4" spans="1:10" x14ac:dyDescent="0.2">
      <c r="B4" s="7">
        <v>2022</v>
      </c>
      <c r="C4" s="7">
        <v>2021</v>
      </c>
      <c r="D4" s="7">
        <v>2020</v>
      </c>
    </row>
    <row r="5" spans="1:10" x14ac:dyDescent="0.2">
      <c r="A5" t="s">
        <v>3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">
      <c r="A9" t="s">
        <v>7</v>
      </c>
      <c r="B9" s="12"/>
      <c r="C9" s="12"/>
      <c r="D9" s="12"/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">
      <c r="A14" t="s">
        <v>10</v>
      </c>
      <c r="B14" s="12"/>
      <c r="C14" s="12"/>
      <c r="D14" s="12"/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2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">
      <c r="A21" t="s">
        <v>17</v>
      </c>
      <c r="B21" s="12">
        <v>19300</v>
      </c>
      <c r="C21" s="12">
        <v>14527</v>
      </c>
      <c r="D21" s="12">
        <v>9680</v>
      </c>
    </row>
    <row r="22" spans="1:4" ht="16" thickBot="1" x14ac:dyDescent="0.2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6" thickTop="1" x14ac:dyDescent="0.2">
      <c r="A23" t="s">
        <v>19</v>
      </c>
    </row>
    <row r="24" spans="1:4" x14ac:dyDescent="0.2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">
      <c r="A26" t="s">
        <v>22</v>
      </c>
    </row>
    <row r="27" spans="1:4" x14ac:dyDescent="0.2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">
      <c r="A31" s="29" t="s">
        <v>24</v>
      </c>
      <c r="B31" s="29"/>
      <c r="C31" s="29"/>
      <c r="D31" s="29"/>
    </row>
    <row r="32" spans="1:4" x14ac:dyDescent="0.2">
      <c r="B32" s="28" t="s">
        <v>142</v>
      </c>
      <c r="C32" s="28"/>
      <c r="D32" s="28"/>
    </row>
    <row r="33" spans="1:4" x14ac:dyDescent="0.2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2">
      <c r="A35" t="s">
        <v>25</v>
      </c>
    </row>
    <row r="36" spans="1:4" x14ac:dyDescent="0.2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2">
      <c r="A43" t="s">
        <v>48</v>
      </c>
      <c r="B43" s="12"/>
      <c r="C43" s="12"/>
      <c r="D43" s="12"/>
    </row>
    <row r="44" spans="1:4" x14ac:dyDescent="0.2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6" thickBot="1" x14ac:dyDescent="0.2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6" thickTop="1" x14ac:dyDescent="0.2"/>
    <row r="50" spans="1:4" x14ac:dyDescent="0.2">
      <c r="A50" t="s">
        <v>34</v>
      </c>
    </row>
    <row r="51" spans="1:4" x14ac:dyDescent="0.2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">
      <c r="A57" t="s">
        <v>51</v>
      </c>
      <c r="B57" s="12"/>
      <c r="C57" s="12"/>
      <c r="D57" s="12"/>
    </row>
    <row r="58" spans="1:4" x14ac:dyDescent="0.2">
      <c r="A58" s="1" t="s">
        <v>37</v>
      </c>
      <c r="B58" s="12"/>
      <c r="C58" s="12"/>
      <c r="D58" s="12"/>
    </row>
    <row r="59" spans="1:4" x14ac:dyDescent="0.2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2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">
      <c r="B63" s="12"/>
      <c r="C63" s="12"/>
      <c r="D63" s="12"/>
    </row>
    <row r="64" spans="1:4" x14ac:dyDescent="0.2">
      <c r="A64" t="s">
        <v>42</v>
      </c>
      <c r="B64" s="12"/>
      <c r="C64" s="12"/>
      <c r="D64" s="12"/>
    </row>
    <row r="65" spans="1:4" x14ac:dyDescent="0.2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6" thickBot="1" x14ac:dyDescent="0.2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6" thickTop="1" x14ac:dyDescent="0.2"/>
    <row r="71" spans="1:4" x14ac:dyDescent="0.2">
      <c r="A71" s="29" t="s">
        <v>55</v>
      </c>
      <c r="B71" s="29"/>
      <c r="C71" s="29"/>
      <c r="D71" s="29"/>
    </row>
    <row r="72" spans="1:4" x14ac:dyDescent="0.2">
      <c r="B72" s="28" t="s">
        <v>23</v>
      </c>
      <c r="C72" s="28"/>
      <c r="D72" s="28"/>
    </row>
    <row r="73" spans="1:4" x14ac:dyDescent="0.2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">
      <c r="A75" s="7" t="s">
        <v>56</v>
      </c>
      <c r="B75" s="15"/>
      <c r="C75" s="15"/>
      <c r="D75" s="15"/>
    </row>
    <row r="76" spans="1:4" x14ac:dyDescent="0.2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">
      <c r="A77" s="11" t="s">
        <v>18</v>
      </c>
      <c r="B77" s="15"/>
      <c r="C77" s="15"/>
      <c r="D77" s="15"/>
    </row>
    <row r="78" spans="1:4" x14ac:dyDescent="0.2">
      <c r="A78" s="1" t="s">
        <v>58</v>
      </c>
      <c r="B78" s="12"/>
      <c r="C78" s="12"/>
      <c r="D78" s="12"/>
    </row>
    <row r="79" spans="1:4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">
      <c r="A83" t="s">
        <v>62</v>
      </c>
      <c r="B83" s="12"/>
      <c r="C83" s="12"/>
      <c r="D83" s="12"/>
    </row>
    <row r="84" spans="1:4" x14ac:dyDescent="0.2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">
      <c r="A92" s="7" t="s">
        <v>64</v>
      </c>
      <c r="B92" s="12"/>
      <c r="C92" s="12"/>
      <c r="D92" s="12"/>
    </row>
    <row r="93" spans="1:4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">
      <c r="A100" s="7" t="s">
        <v>71</v>
      </c>
      <c r="B100" s="12"/>
      <c r="C100" s="12"/>
      <c r="D100" s="12"/>
    </row>
    <row r="101" spans="1:4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  <row r="118" spans="1:4" x14ac:dyDescent="0.2">
      <c r="A118" t="s">
        <v>150</v>
      </c>
      <c r="B118">
        <v>220.85</v>
      </c>
      <c r="C118">
        <v>220.85</v>
      </c>
      <c r="D118">
        <v>220.85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5"/>
  <sheetViews>
    <sheetView tabSelected="1" topLeftCell="A64" workbookViewId="0">
      <selection activeCell="G91" sqref="G91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3" width="18.83203125" bestFit="1" customWidth="1"/>
    <col min="4" max="4" width="12.6640625" bestFit="1" customWidth="1"/>
    <col min="5" max="5" width="13.6640625" bestFit="1" customWidth="1"/>
  </cols>
  <sheetData>
    <row r="1" spans="1:10" ht="60" customHeight="1" x14ac:dyDescent="0.3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">
      <c r="C2" s="28" t="s">
        <v>23</v>
      </c>
      <c r="D2" s="28"/>
      <c r="E2" s="28"/>
    </row>
    <row r="3" spans="1:10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">
      <c r="A4" s="18">
        <v>1</v>
      </c>
      <c r="B4" s="7" t="s">
        <v>99</v>
      </c>
    </row>
    <row r="5" spans="1:10" x14ac:dyDescent="0.2">
      <c r="A5" s="18">
        <f>+A4+0.1</f>
        <v>1.1000000000000001</v>
      </c>
      <c r="B5" s="1" t="s">
        <v>100</v>
      </c>
      <c r="C5" s="24">
        <f>'Financial Statements'!B42/'Financial Statements'!B56</f>
        <v>0.87935602862672257</v>
      </c>
      <c r="D5" s="24">
        <f>'Financial Statements'!C42/'Financial Statements'!C56</f>
        <v>1.0745531195957954</v>
      </c>
      <c r="E5" s="24">
        <f>'Financial Statements'!D42/'Financial Statements'!D56</f>
        <v>1.3636044481554577</v>
      </c>
    </row>
    <row r="6" spans="1:10" x14ac:dyDescent="0.2">
      <c r="A6" s="18">
        <f t="shared" ref="A6:A13" si="0">+A5+0.1</f>
        <v>1.2000000000000002</v>
      </c>
      <c r="B6" s="1" t="s">
        <v>101</v>
      </c>
      <c r="C6" s="24">
        <f>('Financial Statements'!B42-'Financial Statements'!B39)/'Financial Statements'!B56</f>
        <v>0.84723539114961488</v>
      </c>
      <c r="D6" s="24">
        <f>('Financial Statements'!C42-'Financial Statements'!C39)/'Financial Statements'!C56</f>
        <v>1.0221149018576519</v>
      </c>
      <c r="E6" s="24">
        <f>('Financial Statements'!D42-'Financial Statements'!D39)/'Financial Statements'!D56</f>
        <v>1.325072111735236</v>
      </c>
    </row>
    <row r="7" spans="1:10" x14ac:dyDescent="0.2">
      <c r="A7" s="18">
        <f t="shared" si="0"/>
        <v>1.3000000000000003</v>
      </c>
      <c r="B7" s="1" t="s">
        <v>102</v>
      </c>
      <c r="C7" s="24">
        <f>'Financial Statements'!B36/'Financial Statements'!B56</f>
        <v>0.15356340351469652</v>
      </c>
      <c r="D7" s="24">
        <f>'Financial Statements'!C36/'Financial Statements'!C56</f>
        <v>0.27844853005634318</v>
      </c>
      <c r="E7" s="24">
        <f>'Financial Statements'!D36/'Financial Statements'!D56</f>
        <v>0.36071049035979963</v>
      </c>
    </row>
    <row r="8" spans="1:10" x14ac:dyDescent="0.2">
      <c r="A8" s="18">
        <f t="shared" si="0"/>
        <v>1.4000000000000004</v>
      </c>
      <c r="B8" s="1" t="s">
        <v>103</v>
      </c>
      <c r="C8" s="24">
        <f>('Financial Statements'!B36+'Financial Statements'!B37)/'Financial Statements'!B17</f>
        <v>0.94077320089590033</v>
      </c>
      <c r="D8" s="24">
        <f>('Financial Statements'!C36+'Financial Statements'!C37)/'Financial Statements'!C17</f>
        <v>1.4272791487228564</v>
      </c>
      <c r="E8" s="24">
        <f>('Financial Statements'!D36+'Financial Statements'!D37)/'Financial Statements'!D17</f>
        <v>2.3518930381710974</v>
      </c>
    </row>
    <row r="9" spans="1:10" x14ac:dyDescent="0.2">
      <c r="A9" s="18">
        <f t="shared" si="0"/>
        <v>1.5000000000000004</v>
      </c>
      <c r="B9" s="1" t="s">
        <v>104</v>
      </c>
      <c r="C9" s="24">
        <f>'Financial Statements'!B39/'Financial Statements'!B10*365</f>
        <v>8.96054519012662</v>
      </c>
      <c r="D9" s="24">
        <f>'Financial Statements'!C39/'Financial Statements'!C10*365</f>
        <v>12.491548167642746</v>
      </c>
      <c r="E9" s="24">
        <f>'Financial Statements'!D39/'Financial Statements'!D10*365</f>
        <v>9.797767143027114</v>
      </c>
    </row>
    <row r="10" spans="1:10" x14ac:dyDescent="0.2">
      <c r="A10" s="18">
        <f t="shared" si="0"/>
        <v>1.6000000000000005</v>
      </c>
      <c r="B10" s="1" t="s">
        <v>105</v>
      </c>
      <c r="C10" s="24">
        <f>'Financial Statements'!B51/'Financial Statements'!B12*365</f>
        <v>104.68527730310539</v>
      </c>
      <c r="D10" s="24">
        <f>'Financial Statements'!C51/'Financial Statements'!C12*365</f>
        <v>93.851071222315596</v>
      </c>
      <c r="E10" s="24">
        <f>'Financial Statements'!D51/'Financial Statements'!D12*365</f>
        <v>91.048189715674198</v>
      </c>
    </row>
    <row r="11" spans="1:10" x14ac:dyDescent="0.2">
      <c r="A11" s="18">
        <f t="shared" si="0"/>
        <v>1.7000000000000006</v>
      </c>
      <c r="B11" s="1" t="s">
        <v>106</v>
      </c>
      <c r="C11" s="24">
        <f>'Financial Statements'!B38/'Financial Statements'!B8*365</f>
        <v>26.087825363656648</v>
      </c>
      <c r="D11" s="24">
        <f>'Financial Statements'!C38/'Financial Statements'!C8*365</f>
        <v>26.219311841713207</v>
      </c>
      <c r="E11" s="24">
        <f>'Financial Statements'!D38/'Financial Statements'!D8*365</f>
        <v>21.433437152796749</v>
      </c>
    </row>
    <row r="12" spans="1:10" x14ac:dyDescent="0.2">
      <c r="A12" s="18">
        <f t="shared" si="0"/>
        <v>1.8000000000000007</v>
      </c>
      <c r="B12" s="1" t="s">
        <v>107</v>
      </c>
      <c r="C12" s="24">
        <f>C9+C11-C10</f>
        <v>-69.636906749322122</v>
      </c>
      <c r="D12" s="24">
        <f>D9+D11-D10</f>
        <v>-55.140211212959642</v>
      </c>
      <c r="E12" s="24">
        <f>E9+E11-E10</f>
        <v>-59.816985419850333</v>
      </c>
    </row>
    <row r="13" spans="1:10" x14ac:dyDescent="0.2">
      <c r="A13" s="18">
        <f t="shared" si="0"/>
        <v>1.9000000000000008</v>
      </c>
      <c r="B13" s="1" t="s">
        <v>108</v>
      </c>
      <c r="C13" s="25">
        <f>C14/'Financial Statements'!B8</f>
        <v>-4.711052727678481E-2</v>
      </c>
      <c r="D13" s="25">
        <f>D14/'Financial Statements'!C8</f>
        <v>2.557289573748623E-2</v>
      </c>
      <c r="E13" s="25">
        <f>E14/'Financial Statements'!D8</f>
        <v>0.13959528623208203</v>
      </c>
    </row>
    <row r="14" spans="1:10" x14ac:dyDescent="0.2">
      <c r="A14" s="18"/>
      <c r="B14" s="3" t="s">
        <v>109</v>
      </c>
      <c r="C14" s="26">
        <f>'Financial Statements'!B42-'Financial Statements'!B56</f>
        <v>-18577</v>
      </c>
      <c r="D14" s="26">
        <f>'Financial Statements'!C42-'Financial Statements'!C56</f>
        <v>9355</v>
      </c>
      <c r="E14" s="26">
        <f>'Financial Statements'!D42-'Financial Statements'!D56</f>
        <v>38321</v>
      </c>
    </row>
    <row r="15" spans="1:10" x14ac:dyDescent="0.2">
      <c r="A15" s="18"/>
    </row>
    <row r="16" spans="1:10" x14ac:dyDescent="0.2">
      <c r="A16" s="18">
        <f>+A4+1</f>
        <v>2</v>
      </c>
      <c r="B16" s="17" t="s">
        <v>110</v>
      </c>
    </row>
    <row r="17" spans="1:5" x14ac:dyDescent="0.2">
      <c r="A17" s="18">
        <f>+A16+0.1</f>
        <v>2.1</v>
      </c>
      <c r="B17" s="1" t="s">
        <v>9</v>
      </c>
      <c r="C17" s="23">
        <f>'Financial Statements'!B13/'Financial Statements'!B8</f>
        <v>0.43309630561360085</v>
      </c>
      <c r="D17" s="23">
        <f>'Financial Statements'!C13/'Financial Statements'!C8</f>
        <v>0.41779359625167778</v>
      </c>
      <c r="E17" s="23">
        <f>'Financial Statements'!D13/'Financial Statements'!D8</f>
        <v>0.38233247727810865</v>
      </c>
    </row>
    <row r="18" spans="1:5" x14ac:dyDescent="0.2">
      <c r="A18" s="18">
        <f>+A17+0.1</f>
        <v>2.2000000000000002</v>
      </c>
      <c r="B18" s="1" t="s">
        <v>111</v>
      </c>
      <c r="C18" s="23">
        <f>('Financial Statements'!B18+'Financial Statements'!B79)/'Financial Statements'!B8</f>
        <v>0.3310467428130896</v>
      </c>
      <c r="D18" s="23">
        <f>('Financial Statements'!C18+'Financial Statements'!C79)/'Financial Statements'!C8</f>
        <v>0.32866979938056462</v>
      </c>
      <c r="E18" s="23">
        <f>('Financial Statements'!D18+'Financial Statements'!D79)/'Financial Statements'!D8</f>
        <v>0.2817478097736007</v>
      </c>
    </row>
    <row r="19" spans="1:5" x14ac:dyDescent="0.2">
      <c r="A19" s="18"/>
      <c r="B19" s="3" t="s">
        <v>112</v>
      </c>
      <c r="C19">
        <f>('Financial Statements'!B18+'Financial Statements'!B79)</f>
        <v>130541</v>
      </c>
      <c r="D19">
        <f>('Financial Statements'!C18+'Financial Statements'!C79)</f>
        <v>120233</v>
      </c>
      <c r="E19">
        <f>('Financial Statements'!D18+'Financial Statements'!D79)</f>
        <v>77344</v>
      </c>
    </row>
    <row r="20" spans="1:5" x14ac:dyDescent="0.2">
      <c r="A20" s="18">
        <f>+A18+0.1</f>
        <v>2.3000000000000003</v>
      </c>
      <c r="B20" s="1" t="s">
        <v>113</v>
      </c>
      <c r="C20" s="23">
        <f>C21/'Financial Statements'!B8</f>
        <v>0.30288744395528594</v>
      </c>
      <c r="D20" s="23">
        <f>D21/'Financial Statements'!C8</f>
        <v>0.29782377527561593</v>
      </c>
      <c r="E20" s="23">
        <f>E21/'Financial Statements'!D8</f>
        <v>0.24147314354406862</v>
      </c>
    </row>
    <row r="21" spans="1:5" x14ac:dyDescent="0.2">
      <c r="A21" s="18"/>
      <c r="B21" s="3" t="s">
        <v>114</v>
      </c>
      <c r="C21">
        <f>'Financial Statements'!B18</f>
        <v>119437</v>
      </c>
      <c r="D21">
        <f>'Financial Statements'!C18</f>
        <v>108949</v>
      </c>
      <c r="E21">
        <f>'Financial Statements'!D18</f>
        <v>66288</v>
      </c>
    </row>
    <row r="22" spans="1:5" x14ac:dyDescent="0.2">
      <c r="A22" s="18">
        <f>+A20+0.1</f>
        <v>2.4000000000000004</v>
      </c>
      <c r="B22" s="1" t="s">
        <v>115</v>
      </c>
      <c r="C22" s="23">
        <f>'Financial Statements'!B22/'Financial Statements'!B8</f>
        <v>0.25309640705199732</v>
      </c>
      <c r="D22" s="23">
        <f>'Financial Statements'!C22/'Financial Statements'!C8</f>
        <v>0.25881793355694238</v>
      </c>
      <c r="E22" s="23">
        <f>'Financial Statements'!D22/'Financial Statements'!D8</f>
        <v>0.20913611278072236</v>
      </c>
    </row>
    <row r="23" spans="1:5" x14ac:dyDescent="0.2">
      <c r="A23" s="18"/>
    </row>
    <row r="24" spans="1:5" x14ac:dyDescent="0.2">
      <c r="A24" s="18">
        <f>+A16+1</f>
        <v>3</v>
      </c>
      <c r="B24" s="7" t="s">
        <v>116</v>
      </c>
    </row>
    <row r="25" spans="1:5" x14ac:dyDescent="0.2">
      <c r="A25" s="18">
        <f>+A24+0.1</f>
        <v>3.1</v>
      </c>
      <c r="B25" s="1" t="s">
        <v>117</v>
      </c>
      <c r="C25" s="24">
        <f>('Financial Statements'!B59+'Financial Statements'!B55)/'Financial Statements'!B68</f>
        <v>2.1725410483107042</v>
      </c>
      <c r="D25" s="24">
        <f>('Financial Statements'!C59+'Financial Statements'!C55)/'Financial Statements'!C68</f>
        <v>1.8817403708987162</v>
      </c>
      <c r="E25" s="24">
        <f>('Financial Statements'!D59+'Financial Statements'!D55)/'Financial Statements'!D68</f>
        <v>1.6443471739696047</v>
      </c>
    </row>
    <row r="26" spans="1:5" x14ac:dyDescent="0.2">
      <c r="A26" s="18">
        <f t="shared" ref="A26:A30" si="1">+A25+0.1</f>
        <v>3.2</v>
      </c>
      <c r="B26" s="1" t="s">
        <v>118</v>
      </c>
      <c r="C26" s="24">
        <f>('Financial Statements'!B59+'Financial Statements'!B55)/'Financial Statements'!B48</f>
        <v>0.31207778769967826</v>
      </c>
      <c r="D26" s="24">
        <f>('Financial Statements'!C59+'Financial Statements'!C55)/'Financial Statements'!C48</f>
        <v>0.33822884200090025</v>
      </c>
      <c r="E26" s="24">
        <f>('Financial Statements'!D59+'Financial Statements'!D55)/'Financial Statements'!D48</f>
        <v>0.33171960677765155</v>
      </c>
    </row>
    <row r="27" spans="1:5" x14ac:dyDescent="0.2">
      <c r="A27" s="18">
        <f t="shared" si="1"/>
        <v>3.3000000000000003</v>
      </c>
      <c r="B27" s="1" t="s">
        <v>119</v>
      </c>
      <c r="C27" s="24">
        <f>'Financial Statements'!B59/('Financial Statements'!B68+'Financial Statements'!B59)</f>
        <v>0.66135359651409131</v>
      </c>
      <c r="D27" s="24">
        <f>'Financial Statements'!C59/('Financial Statements'!C68+'Financial Statements'!C59)</f>
        <v>0.63361518269878514</v>
      </c>
      <c r="E27" s="24">
        <f>'Financial Statements'!D59/('Financial Statements'!D68+'Financial Statements'!D59)</f>
        <v>0.60160603880345842</v>
      </c>
    </row>
    <row r="28" spans="1:5" x14ac:dyDescent="0.2">
      <c r="A28" s="18">
        <f t="shared" si="1"/>
        <v>3.4000000000000004</v>
      </c>
      <c r="B28" s="1" t="s">
        <v>120</v>
      </c>
      <c r="C28" s="24">
        <f>'Financial Statements'!B18/'Financial Statements'!B114</f>
        <v>41.68830715532286</v>
      </c>
      <c r="D28" s="24">
        <f>'Financial Statements'!C18/'Financial Statements'!C114</f>
        <v>40.546706363974693</v>
      </c>
      <c r="E28" s="24">
        <f>'Financial Statements'!D18/'Financial Statements'!D114</f>
        <v>22.081279147235175</v>
      </c>
    </row>
    <row r="29" spans="1:5" x14ac:dyDescent="0.2">
      <c r="A29" s="18">
        <f t="shared" si="1"/>
        <v>3.5000000000000004</v>
      </c>
      <c r="B29" s="1" t="s">
        <v>121</v>
      </c>
      <c r="C29" s="24">
        <f>'Financial Statements'!B22/('Financial Statements'!B114+'Financial Statements'!B55+'Financial Statements'!B60)</f>
        <v>1.5807872020274016</v>
      </c>
      <c r="D29" s="24">
        <f>'Financial Statements'!C22/('Financial Statements'!C114+'Financial Statements'!C55+'Financial Statements'!C60)</f>
        <v>1.4427428571428571</v>
      </c>
      <c r="E29" s="24">
        <f>'Financial Statements'!D22/('Financial Statements'!D114+'Financial Statements'!D55+'Financial Statements'!D60)</f>
        <v>0.86638496944088128</v>
      </c>
    </row>
    <row r="30" spans="1:5" x14ac:dyDescent="0.2">
      <c r="A30" s="18">
        <f t="shared" si="1"/>
        <v>3.6000000000000005</v>
      </c>
      <c r="B30" s="1" t="s">
        <v>122</v>
      </c>
      <c r="C30" s="24">
        <f>C31*1000/'Financial Statements'!B28</f>
        <v>8.4727142938433904</v>
      </c>
      <c r="D30" s="24">
        <f>D31*1000/'Financial Statements'!C28</f>
        <v>8.0353780531053847</v>
      </c>
      <c r="E30" s="24">
        <f>E31*1000/'Financial Statements'!D28</f>
        <v>5.9375130860451613</v>
      </c>
    </row>
    <row r="31" spans="1:5" x14ac:dyDescent="0.2">
      <c r="A31" s="18"/>
      <c r="B31" s="3" t="s">
        <v>123</v>
      </c>
      <c r="C31" s="26">
        <f>'Financial Statements'!B91-'Financial Statements'!B96+'Financial Statements'!B104</f>
        <v>138324</v>
      </c>
      <c r="D31" s="26">
        <f>'Financial Statements'!C91-'Financial Statements'!C96+'Financial Statements'!C104</f>
        <v>135516</v>
      </c>
      <c r="E31" s="26">
        <f>'Financial Statements'!D91-'Financial Statements'!D96+'Financial Statements'!D104</f>
        <v>104074</v>
      </c>
    </row>
    <row r="32" spans="1:5" x14ac:dyDescent="0.2">
      <c r="A32" s="18"/>
    </row>
    <row r="33" spans="1:5" x14ac:dyDescent="0.2">
      <c r="A33" s="18">
        <f>+A24+1</f>
        <v>4</v>
      </c>
      <c r="B33" s="17" t="s">
        <v>124</v>
      </c>
    </row>
    <row r="34" spans="1:5" x14ac:dyDescent="0.2">
      <c r="A34" s="18">
        <f>+A33+0.1</f>
        <v>4.0999999999999996</v>
      </c>
      <c r="B34" s="1" t="s">
        <v>125</v>
      </c>
      <c r="C34" s="24">
        <f>'Financial Statements'!B8/'Financial Statements'!B48</f>
        <v>1.1178523337727317</v>
      </c>
      <c r="D34" s="24">
        <f>'Financial Statements'!C8/'Financial Statements'!C48</f>
        <v>1.0422077367080529</v>
      </c>
      <c r="E34" s="24">
        <f>'Financial Statements'!D8/'Financial Statements'!D48</f>
        <v>0.84756150274168851</v>
      </c>
    </row>
    <row r="35" spans="1:5" x14ac:dyDescent="0.2">
      <c r="A35" s="18">
        <f t="shared" ref="A35:A37" si="2">+A34+0.1</f>
        <v>4.1999999999999993</v>
      </c>
      <c r="B35" s="1" t="s">
        <v>126</v>
      </c>
      <c r="C35" s="24">
        <f>'Financial Statements'!B8/'Financial Statements'!B45</f>
        <v>9.3626801529073767</v>
      </c>
      <c r="D35" s="24">
        <f>'Financial Statements'!C8/'Financial Statements'!C45</f>
        <v>9.2752789046653152</v>
      </c>
      <c r="E35" s="24">
        <f>'Financial Statements'!D8/'Financial Statements'!D45</f>
        <v>7.4665451776097482</v>
      </c>
    </row>
    <row r="36" spans="1:5" x14ac:dyDescent="0.2">
      <c r="A36" s="18">
        <f t="shared" si="2"/>
        <v>4.2999999999999989</v>
      </c>
      <c r="B36" s="1" t="s">
        <v>127</v>
      </c>
      <c r="C36" s="24">
        <f>'Financial Statements'!B10/'Financial Statements'!B39</f>
        <v>40.734128588758594</v>
      </c>
      <c r="D36" s="24">
        <f>'Financial Statements'!C10/'Financial Statements'!C39</f>
        <v>29.219756838905774</v>
      </c>
      <c r="E36" s="24">
        <f>'Financial Statements'!D10/'Financial Statements'!D39</f>
        <v>37.253385865550356</v>
      </c>
    </row>
    <row r="37" spans="1:5" x14ac:dyDescent="0.2">
      <c r="A37" s="18">
        <f t="shared" si="2"/>
        <v>4.3999999999999986</v>
      </c>
      <c r="B37" s="1" t="s">
        <v>128</v>
      </c>
      <c r="C37" s="25">
        <f>'Financial Statements'!B22/'Financial Statements'!B48</f>
        <v>0.28292440929256851</v>
      </c>
      <c r="D37" s="25">
        <f>'Financial Statements'!C22/'Financial Statements'!C48</f>
        <v>0.26974205275183616</v>
      </c>
      <c r="E37" s="25">
        <f>'Financial Statements'!D22/'Financial Statements'!D48</f>
        <v>0.1772557180259843</v>
      </c>
    </row>
    <row r="38" spans="1:5" x14ac:dyDescent="0.2">
      <c r="A38" s="18"/>
    </row>
    <row r="39" spans="1:5" x14ac:dyDescent="0.2">
      <c r="A39" s="18">
        <f>+A33+1</f>
        <v>5</v>
      </c>
      <c r="B39" s="17" t="s">
        <v>129</v>
      </c>
    </row>
    <row r="40" spans="1:5" x14ac:dyDescent="0.2">
      <c r="A40" s="18">
        <f>+A39+0.1</f>
        <v>5.0999999999999996</v>
      </c>
      <c r="B40" s="1" t="s">
        <v>130</v>
      </c>
      <c r="C40" s="24">
        <f>'Financial Statements'!B118/'Financial Statements'!B24</f>
        <v>35.910569105691053</v>
      </c>
      <c r="D40" s="24">
        <f>'Financial Statements'!C118/'Financial Statements'!C24</f>
        <v>38.950617283950614</v>
      </c>
      <c r="E40" s="24">
        <f>'Financial Statements'!D118/'Financial Statements'!D24</f>
        <v>66.722054380664645</v>
      </c>
    </row>
    <row r="41" spans="1:5" x14ac:dyDescent="0.2">
      <c r="A41" s="18">
        <f t="shared" ref="A41:A44" si="3">+A40+0.1</f>
        <v>5.1999999999999993</v>
      </c>
      <c r="B41" s="3" t="s">
        <v>131</v>
      </c>
      <c r="C41" s="24">
        <f>'Financial Statements'!B24</f>
        <v>6.15</v>
      </c>
      <c r="D41" s="24">
        <f>'Financial Statements'!C24</f>
        <v>5.67</v>
      </c>
      <c r="E41" s="24">
        <f>'Financial Statements'!D24</f>
        <v>3.31</v>
      </c>
    </row>
    <row r="42" spans="1:5" x14ac:dyDescent="0.2">
      <c r="A42" s="18">
        <f t="shared" si="3"/>
        <v>5.2999999999999989</v>
      </c>
      <c r="B42" s="1" t="s">
        <v>132</v>
      </c>
      <c r="C42" s="24">
        <f>'Financial Statements'!B118/'List of Ratios'!C43</f>
        <v>70.676022824242182</v>
      </c>
      <c r="D42" s="24">
        <f>'Financial Statements'!C118/'List of Ratios'!D43</f>
        <v>58.463717248375339</v>
      </c>
      <c r="E42" s="24">
        <f>'Financial Statements'!D118/'List of Ratios'!E43</f>
        <v>58.651272305208224</v>
      </c>
    </row>
    <row r="43" spans="1:5" x14ac:dyDescent="0.2">
      <c r="A43" s="18">
        <f t="shared" si="3"/>
        <v>5.3999999999999986</v>
      </c>
      <c r="B43" s="3" t="s">
        <v>133</v>
      </c>
      <c r="C43" s="24">
        <f>'Financial Statements'!B68*1000/'Financial Statements'!B27</f>
        <v>3.124822127430853</v>
      </c>
      <c r="D43" s="24">
        <f>'Financial Statements'!C68*1000/'Financial Statements'!C27</f>
        <v>3.7775565837141025</v>
      </c>
      <c r="E43" s="24">
        <f>'Financial Statements'!D68*1000/'Financial Statements'!D27</f>
        <v>3.765476712094932</v>
      </c>
    </row>
    <row r="44" spans="1:5" x14ac:dyDescent="0.2">
      <c r="A44" s="18">
        <f t="shared" si="3"/>
        <v>5.4999999999999982</v>
      </c>
      <c r="B44" s="1" t="s">
        <v>134</v>
      </c>
      <c r="C44" s="24">
        <f>'Financial Statements'!B102/'Financial Statements'!B22*-1</f>
        <v>0.14870294480125848</v>
      </c>
      <c r="D44" s="24">
        <f>'Financial Statements'!C102/'Financial Statements'!C22*-1</f>
        <v>0.15279890156316012</v>
      </c>
      <c r="E44" s="24">
        <f>'Financial Statements'!D102/'Financial Statements'!D22*-1</f>
        <v>0.24526658654264863</v>
      </c>
    </row>
    <row r="45" spans="1:5" x14ac:dyDescent="0.2">
      <c r="A45" s="18"/>
      <c r="B45" s="3" t="s">
        <v>135</v>
      </c>
      <c r="C45" s="27">
        <f>'Financial Statements'!B102*1000/'Financial Statements'!B27*-1</f>
        <v>0.91520929099307891</v>
      </c>
      <c r="D45" s="27">
        <f>'Financial Statements'!C102*1000/'Financial Statements'!C27*-1</f>
        <v>0.86622144708498849</v>
      </c>
      <c r="E45" s="27">
        <f>'Financial Statements'!D102*1000/'Financial Statements'!D27*-1</f>
        <v>0.81148590555424382</v>
      </c>
    </row>
    <row r="46" spans="1:5" x14ac:dyDescent="0.2">
      <c r="A46" s="18">
        <f>+A44+0.1</f>
        <v>5.5999999999999979</v>
      </c>
      <c r="B46" s="1" t="s">
        <v>136</v>
      </c>
      <c r="C46" s="24">
        <f>C45/'Financial Statements'!B118</f>
        <v>4.1440312021420829E-3</v>
      </c>
      <c r="D46" s="24">
        <f>D45/'Financial Statements'!C118</f>
        <v>3.9222161968982955E-3</v>
      </c>
      <c r="E46" s="24">
        <f>E45/'Financial Statements'!D118</f>
        <v>3.6743758458421729E-3</v>
      </c>
    </row>
    <row r="47" spans="1:5" x14ac:dyDescent="0.2">
      <c r="A47" s="18">
        <f t="shared" ref="A47:A50" si="4">+A45+0.1</f>
        <v>0.1</v>
      </c>
      <c r="B47" s="1" t="s">
        <v>137</v>
      </c>
      <c r="C47" s="25">
        <f>'Financial Statements'!B22/'Financial Statements'!B68</f>
        <v>1.9695887275023682</v>
      </c>
      <c r="D47" s="25">
        <f>'Financial Statements'!C22/'Financial Statements'!C68</f>
        <v>1.5007132667617689</v>
      </c>
      <c r="E47" s="25">
        <f>'Financial Statements'!D22/'Financial Statements'!D68</f>
        <v>0.87866358530127486</v>
      </c>
    </row>
    <row r="48" spans="1:5" x14ac:dyDescent="0.2">
      <c r="A48" s="18">
        <f t="shared" si="4"/>
        <v>5.6999999999999975</v>
      </c>
      <c r="B48" s="1" t="s">
        <v>138</v>
      </c>
      <c r="C48" s="24">
        <f>'Financial Statements'!B18/'List of Ratios'!C14</f>
        <v>-6.4292942886364859</v>
      </c>
      <c r="D48" s="24">
        <f>'Financial Statements'!C18/'List of Ratios'!D14</f>
        <v>11.646071619454837</v>
      </c>
      <c r="E48" s="24">
        <f>'Financial Statements'!D18/'List of Ratios'!E14</f>
        <v>1.7298087210667781</v>
      </c>
    </row>
    <row r="49" spans="1:5" x14ac:dyDescent="0.2">
      <c r="A49" s="18">
        <f t="shared" si="4"/>
        <v>0.2</v>
      </c>
      <c r="B49" s="1" t="s">
        <v>128</v>
      </c>
      <c r="C49" s="24">
        <f>C37</f>
        <v>0.28292440929256851</v>
      </c>
      <c r="D49" s="24">
        <f>D37</f>
        <v>0.26974205275183616</v>
      </c>
      <c r="E49" s="24">
        <f>E37</f>
        <v>0.1772557180259843</v>
      </c>
    </row>
    <row r="50" spans="1:5" x14ac:dyDescent="0.2">
      <c r="A50" s="18">
        <f t="shared" si="4"/>
        <v>5.7999999999999972</v>
      </c>
      <c r="B50" s="1" t="s">
        <v>139</v>
      </c>
      <c r="C50" s="24">
        <f>C51/C19</f>
        <v>0.68960935973027637</v>
      </c>
      <c r="D50" s="24">
        <f>D51/D19</f>
        <v>0.72748310298503749</v>
      </c>
      <c r="E50" s="24">
        <f>E51/E19</f>
        <v>0.94714800735868321</v>
      </c>
    </row>
    <row r="51" spans="1:5" x14ac:dyDescent="0.2">
      <c r="A51" s="18"/>
      <c r="B51" s="3" t="s">
        <v>140</v>
      </c>
      <c r="C51" s="24">
        <f>'Financial Statements'!B118*'Financial Statements'!B27/1000000+'Financial Statements'!B55+'Financial Statements'!B59-'Financial Statements'!B36</f>
        <v>90022.295428550002</v>
      </c>
      <c r="D51" s="24">
        <f>'Financial Statements'!C118*'Financial Statements'!C27/1000000+'Financial Statements'!C55+'Financial Statements'!C59-'Financial Statements'!C36</f>
        <v>87467.475921200006</v>
      </c>
      <c r="E51" s="24">
        <f>'Financial Statements'!D118*'Financial Statements'!D27/1000000+'Financial Statements'!D55+'Financial Statements'!D59-'Financial Statements'!D36</f>
        <v>73256.215481149993</v>
      </c>
    </row>
    <row r="53" spans="1:5" x14ac:dyDescent="0.2">
      <c r="B53" s="17" t="s">
        <v>152</v>
      </c>
    </row>
    <row r="54" spans="1:5" x14ac:dyDescent="0.2">
      <c r="B54" s="1" t="str">
        <f>'Financial Statements'!A6</f>
        <v>Products</v>
      </c>
      <c r="C54" s="23">
        <f>'Financial Statements'!B6/'Financial Statements'!C6-1</f>
        <v>6.3239764351428418E-2</v>
      </c>
      <c r="D54" s="23">
        <f>'Financial Statements'!C6/'Financial Statements'!D6-1</f>
        <v>0.34720743656765429</v>
      </c>
      <c r="E54" s="23" t="s">
        <v>151</v>
      </c>
    </row>
    <row r="55" spans="1:5" x14ac:dyDescent="0.2">
      <c r="B55" s="1" t="str">
        <f>'Financial Statements'!A7</f>
        <v>Services</v>
      </c>
      <c r="C55" s="23">
        <f>'Financial Statements'!B7/'Financial Statements'!C7-1</f>
        <v>0.14181951041286078</v>
      </c>
      <c r="D55" s="23">
        <f>'Financial Statements'!C7/'Financial Statements'!D7-1</f>
        <v>0.27259708376729663</v>
      </c>
      <c r="E55" s="23" t="s">
        <v>151</v>
      </c>
    </row>
    <row r="56" spans="1:5" x14ac:dyDescent="0.2">
      <c r="B56" s="1" t="str">
        <f>'Financial Statements'!A8</f>
        <v>Total net sales</v>
      </c>
      <c r="C56" s="23">
        <f>'Financial Statements'!B8/'Financial Statements'!C8-1</f>
        <v>7.7937876041846099E-2</v>
      </c>
      <c r="D56" s="23">
        <f>'Financial Statements'!C8/'Financial Statements'!D8-1</f>
        <v>0.33259384733074704</v>
      </c>
      <c r="E56" s="23" t="s">
        <v>151</v>
      </c>
    </row>
    <row r="57" spans="1:5" x14ac:dyDescent="0.2">
      <c r="B57" s="1" t="str">
        <f>'Financial Statements'!A9</f>
        <v>Cost of sales:</v>
      </c>
      <c r="C57" s="23"/>
      <c r="D57" s="23"/>
      <c r="E57" s="23"/>
    </row>
    <row r="58" spans="1:5" x14ac:dyDescent="0.2">
      <c r="B58" s="1" t="str">
        <f>'Financial Statements'!A10</f>
        <v>Products</v>
      </c>
      <c r="C58" s="23">
        <f>'Financial Statements'!B10/'Financial Statements'!C10-1</f>
        <v>4.7876379599097074E-2</v>
      </c>
      <c r="D58" s="23">
        <f>'Financial Statements'!C10/'Financial Statements'!D10-1</f>
        <v>0.27087767539626939</v>
      </c>
      <c r="E58" s="23" t="s">
        <v>151</v>
      </c>
    </row>
    <row r="59" spans="1:5" x14ac:dyDescent="0.2">
      <c r="B59" s="1" t="str">
        <f>'Financial Statements'!A11</f>
        <v>Services</v>
      </c>
      <c r="C59" s="23">
        <f>'Financial Statements'!B11/'Financial Statements'!C11-1</f>
        <v>6.5652908520395847E-2</v>
      </c>
      <c r="D59" s="23">
        <f>'Financial Statements'!C11/'Financial Statements'!D11-1</f>
        <v>0.13363979642094903</v>
      </c>
      <c r="E59" s="23" t="s">
        <v>151</v>
      </c>
    </row>
    <row r="60" spans="1:5" x14ac:dyDescent="0.2">
      <c r="B60" s="1" t="str">
        <f>'Financial Statements'!A12</f>
        <v>Total cost of sales</v>
      </c>
      <c r="C60" s="23">
        <f>'Financial Statements'!B12/'Financial Statements'!C12-1</f>
        <v>4.960536385874792E-2</v>
      </c>
      <c r="D60" s="23">
        <f>'Financial Statements'!C12/'Financial Statements'!D12-1</f>
        <v>0.25608785142634716</v>
      </c>
      <c r="E60" s="23" t="s">
        <v>151</v>
      </c>
    </row>
    <row r="61" spans="1:5" x14ac:dyDescent="0.2">
      <c r="B61" s="1" t="str">
        <f>'Financial Statements'!A13</f>
        <v>Gross margin</v>
      </c>
      <c r="C61" s="23">
        <f>'Financial Statements'!B13/'Financial Statements'!C13-1</f>
        <v>0.1174199795859614</v>
      </c>
      <c r="D61" s="23">
        <f>'Financial Statements'!C13/'Financial Statements'!D13-1</f>
        <v>0.45619116582186825</v>
      </c>
      <c r="E61" s="23" t="s">
        <v>151</v>
      </c>
    </row>
    <row r="62" spans="1:5" x14ac:dyDescent="0.2">
      <c r="B62" s="1" t="str">
        <f>'Financial Statements'!A14</f>
        <v>Operating expenses:</v>
      </c>
      <c r="C62" s="23"/>
      <c r="D62" s="23"/>
      <c r="E62" s="23"/>
    </row>
    <row r="63" spans="1:5" x14ac:dyDescent="0.2">
      <c r="B63" s="1" t="str">
        <f>'Financial Statements'!A15</f>
        <v>Research and development</v>
      </c>
      <c r="C63" s="23">
        <f>'Financial Statements'!B15/'Financial Statements'!C15-1</f>
        <v>0.19791001186456136</v>
      </c>
      <c r="D63" s="23">
        <f>'Financial Statements'!C15/'Financial Statements'!D15-1</f>
        <v>0.16862201365187723</v>
      </c>
      <c r="E63" s="23" t="s">
        <v>151</v>
      </c>
    </row>
    <row r="64" spans="1:5" x14ac:dyDescent="0.2">
      <c r="B64" s="1" t="str">
        <f>'Financial Statements'!A16</f>
        <v>Selling, general and administrative</v>
      </c>
      <c r="C64" s="23">
        <f>'Financial Statements'!B16/'Financial Statements'!C16-1</f>
        <v>0.14203795567287125</v>
      </c>
      <c r="D64" s="23">
        <f>'Financial Statements'!C16/'Financial Statements'!D16-1</f>
        <v>0.10328379192608961</v>
      </c>
      <c r="E64" s="23" t="s">
        <v>151</v>
      </c>
    </row>
    <row r="65" spans="2:5" x14ac:dyDescent="0.2">
      <c r="B65" s="1" t="str">
        <f>'Financial Statements'!A17</f>
        <v>Total operating expenses</v>
      </c>
      <c r="C65" s="23">
        <f>'Financial Statements'!B17/'Financial Statements'!C17-1</f>
        <v>0.16993642764372141</v>
      </c>
      <c r="D65" s="23">
        <f>'Financial Statements'!C17/'Financial Statements'!D17-1</f>
        <v>0.13496948381090301</v>
      </c>
      <c r="E65" s="23" t="s">
        <v>151</v>
      </c>
    </row>
    <row r="66" spans="2:5" x14ac:dyDescent="0.2">
      <c r="B66" s="1" t="str">
        <f>'Financial Statements'!A18</f>
        <v>Operating income</v>
      </c>
      <c r="C66" s="23">
        <f>'Financial Statements'!B18/'Financial Statements'!C18-1</f>
        <v>9.6265225013538513E-2</v>
      </c>
      <c r="D66" s="23">
        <f>'Financial Statements'!C18/'Financial Statements'!D18-1</f>
        <v>0.64357048032826447</v>
      </c>
      <c r="E66" s="23" t="s">
        <v>151</v>
      </c>
    </row>
    <row r="67" spans="2:5" x14ac:dyDescent="0.2">
      <c r="B67" s="1" t="str">
        <f>'Financial Statements'!A19</f>
        <v>Other income/(expense), net</v>
      </c>
      <c r="C67" s="23">
        <f>'Financial Statements'!B19/'Financial Statements'!C19-1</f>
        <v>-2.2945736434108528</v>
      </c>
      <c r="D67" s="23">
        <f>'Financial Statements'!C19/'Financial Statements'!D19-1</f>
        <v>-0.67870485678704862</v>
      </c>
      <c r="E67" s="23" t="s">
        <v>151</v>
      </c>
    </row>
    <row r="68" spans="2:5" x14ac:dyDescent="0.2">
      <c r="B68" s="1" t="str">
        <f>'Financial Statements'!A20</f>
        <v>Income before provision for income taxes</v>
      </c>
      <c r="C68" s="23">
        <f>'Financial Statements'!B20/'Financial Statements'!C20-1</f>
        <v>9.0616901846951148E-2</v>
      </c>
      <c r="D68" s="23">
        <f>'Financial Statements'!C20/'Financial Statements'!D20-1</f>
        <v>0.62774440685039723</v>
      </c>
      <c r="E68" s="23" t="s">
        <v>151</v>
      </c>
    </row>
    <row r="69" spans="2:5" x14ac:dyDescent="0.2">
      <c r="B69" s="1" t="str">
        <f>'Financial Statements'!A21</f>
        <v>Provision for income taxes</v>
      </c>
      <c r="C69" s="23">
        <f>'Financial Statements'!B21/'Financial Statements'!C21-1</f>
        <v>0.32856061127555591</v>
      </c>
      <c r="D69" s="23">
        <f>'Financial Statements'!C21/'Financial Statements'!D21-1</f>
        <v>0.50072314049586786</v>
      </c>
      <c r="E69" s="23" t="s">
        <v>151</v>
      </c>
    </row>
    <row r="70" spans="2:5" x14ac:dyDescent="0.2">
      <c r="B70" s="1" t="str">
        <f>'Financial Statements'!A22</f>
        <v>Net income</v>
      </c>
      <c r="C70" s="23">
        <f>'Financial Statements'!B22/'Financial Statements'!C22-1</f>
        <v>5.410857625686516E-2</v>
      </c>
      <c r="D70" s="23">
        <f>'Financial Statements'!C22/'Financial Statements'!D22-1</f>
        <v>0.64916131055024295</v>
      </c>
      <c r="E70" s="23" t="s">
        <v>151</v>
      </c>
    </row>
    <row r="71" spans="2:5" x14ac:dyDescent="0.2">
      <c r="B71" s="1"/>
    </row>
    <row r="72" spans="2:5" x14ac:dyDescent="0.2">
      <c r="B72" s="17" t="s">
        <v>153</v>
      </c>
      <c r="C72" s="30"/>
      <c r="D72" s="30"/>
      <c r="E72" s="30"/>
    </row>
    <row r="73" spans="2:5" x14ac:dyDescent="0.2">
      <c r="B73" s="1" t="str">
        <f>'Financial Statements'!A12</f>
        <v>Total cost of sales</v>
      </c>
      <c r="C73" s="32">
        <f>'Financial Statements'!B12/'Financial Statements'!B$8</f>
        <v>0.56690369438639909</v>
      </c>
      <c r="D73" s="32">
        <f>'Financial Statements'!C12/'Financial Statements'!C$8</f>
        <v>0.58220640374832222</v>
      </c>
      <c r="E73" s="32">
        <f>'Financial Statements'!D12/'Financial Statements'!D$8</f>
        <v>0.61766752272189129</v>
      </c>
    </row>
    <row r="74" spans="2:5" x14ac:dyDescent="0.2">
      <c r="B74" s="1" t="str">
        <f>'Financial Statements'!A13</f>
        <v>Gross margin</v>
      </c>
      <c r="C74" s="32">
        <f>'Financial Statements'!B13/'Financial Statements'!B$8</f>
        <v>0.43309630561360085</v>
      </c>
      <c r="D74" s="32">
        <f>'Financial Statements'!C13/'Financial Statements'!C$8</f>
        <v>0.41779359625167778</v>
      </c>
      <c r="E74" s="32">
        <f>'Financial Statements'!D13/'Financial Statements'!D$8</f>
        <v>0.38233247727810865</v>
      </c>
    </row>
    <row r="75" spans="2:5" x14ac:dyDescent="0.2">
      <c r="B75" s="1" t="str">
        <f>'Financial Statements'!A14</f>
        <v>Operating expenses:</v>
      </c>
      <c r="C75" s="32"/>
      <c r="D75" s="32"/>
      <c r="E75" s="32"/>
    </row>
    <row r="76" spans="2:5" x14ac:dyDescent="0.2">
      <c r="B76" s="1" t="str">
        <f>'Financial Statements'!A15</f>
        <v>Research and development</v>
      </c>
      <c r="C76" s="32">
        <f>'Financial Statements'!B15/'Financial Statements'!B$8</f>
        <v>6.657148363798665E-2</v>
      </c>
      <c r="D76" s="32">
        <f>'Financial Statements'!C15/'Financial Statements'!C$8</f>
        <v>5.9904269074427925E-2</v>
      </c>
      <c r="E76" s="32">
        <f>'Financial Statements'!D15/'Financial Statements'!D$8</f>
        <v>6.8309564140393061E-2</v>
      </c>
    </row>
    <row r="77" spans="2:5" x14ac:dyDescent="0.2">
      <c r="B77" s="1" t="str">
        <f>'Financial Statements'!A16</f>
        <v>Selling, general and administrative</v>
      </c>
      <c r="C77" s="32">
        <f>'Financial Statements'!B16/'Financial Statements'!B$8</f>
        <v>6.3637378020328261E-2</v>
      </c>
      <c r="D77" s="32">
        <f>'Financial Statements'!C16/'Financial Statements'!C$8</f>
        <v>6.006555190163388E-2</v>
      </c>
      <c r="E77" s="32">
        <f>'Financial Statements'!D16/'Financial Statements'!D$8</f>
        <v>7.2549769593646979E-2</v>
      </c>
    </row>
    <row r="78" spans="2:5" x14ac:dyDescent="0.2">
      <c r="B78" s="1" t="str">
        <f>'Financial Statements'!A17</f>
        <v>Total operating expenses</v>
      </c>
      <c r="C78" s="32">
        <f>'Financial Statements'!B17/'Financial Statements'!B$8</f>
        <v>0.13020886165831491</v>
      </c>
      <c r="D78" s="32">
        <f>'Financial Statements'!C17/'Financial Statements'!C$8</f>
        <v>0.11996982097606181</v>
      </c>
      <c r="E78" s="32">
        <f>'Financial Statements'!D17/'Financial Statements'!D$8</f>
        <v>0.14085933373404003</v>
      </c>
    </row>
    <row r="79" spans="2:5" x14ac:dyDescent="0.2">
      <c r="B79" s="1" t="str">
        <f>'Financial Statements'!A18</f>
        <v>Operating income</v>
      </c>
      <c r="C79" s="32">
        <f>'Financial Statements'!B18/'Financial Statements'!B$8</f>
        <v>0.30288744395528594</v>
      </c>
      <c r="D79" s="32">
        <f>'Financial Statements'!C18/'Financial Statements'!C$8</f>
        <v>0.29782377527561593</v>
      </c>
      <c r="E79" s="32">
        <f>'Financial Statements'!D18/'Financial Statements'!D$8</f>
        <v>0.24147314354406862</v>
      </c>
    </row>
    <row r="80" spans="2:5" x14ac:dyDescent="0.2">
      <c r="B80" s="1" t="str">
        <f>'Financial Statements'!A22</f>
        <v>Net income</v>
      </c>
      <c r="C80" s="32">
        <f>'Financial Statements'!B22/'Financial Statements'!B$8</f>
        <v>0.25309640705199732</v>
      </c>
      <c r="D80" s="32">
        <f>'Financial Statements'!C22/'Financial Statements'!C$8</f>
        <v>0.25881793355694238</v>
      </c>
      <c r="E80" s="32">
        <f>'Financial Statements'!D22/'Financial Statements'!D$8</f>
        <v>0.20913611278072236</v>
      </c>
    </row>
    <row r="81" spans="2:5" x14ac:dyDescent="0.2">
      <c r="B81" s="1"/>
      <c r="C81" s="1"/>
    </row>
    <row r="82" spans="2:5" x14ac:dyDescent="0.2">
      <c r="B82" s="1"/>
      <c r="C82" s="1"/>
    </row>
    <row r="83" spans="2:5" x14ac:dyDescent="0.2">
      <c r="B83" t="s">
        <v>154</v>
      </c>
      <c r="C83" s="23">
        <f>'Financial Statements'!B113/'Financial Statements'!B20</f>
        <v>0.1643367505436471</v>
      </c>
      <c r="D83" s="23">
        <f>'Financial Statements'!C113/'Financial Statements'!C20</f>
        <v>0.23244846942045841</v>
      </c>
      <c r="E83" s="23">
        <f>'Financial Statements'!D113/'Financial Statements'!D20</f>
        <v>0.14161362924982487</v>
      </c>
    </row>
    <row r="84" spans="2:5" x14ac:dyDescent="0.2">
      <c r="B84" s="31" t="s">
        <v>95</v>
      </c>
      <c r="C84" s="32">
        <f>'Financial Statements'!B96/'Financial Statements'!B8*-1</f>
        <v>2.7155058732831552E-2</v>
      </c>
      <c r="D84" s="32">
        <f>'Financial Statements'!C96/'Financial Statements'!C8*-1</f>
        <v>3.0302036264033657E-2</v>
      </c>
      <c r="E84" s="32">
        <f>'Financial Statements'!D96/'Financial Statements'!D8*-1</f>
        <v>2.6625138881299748E-2</v>
      </c>
    </row>
    <row r="85" spans="2:5" x14ac:dyDescent="0.2">
      <c r="B85" s="31" t="s">
        <v>96</v>
      </c>
      <c r="C85" s="33">
        <f>'Financial Statements'!B96/'Financial Statements'!B45*-1</f>
        <v>0.25424412944891611</v>
      </c>
      <c r="D85" s="33">
        <f>'Financial Statements'!C96/'Financial Statements'!C45*-1</f>
        <v>0.28105983772819471</v>
      </c>
      <c r="E85" s="33">
        <f>'Financial Statements'!D96/'Financial Statements'!D45*-1</f>
        <v>0.19879780231735844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Brassesco, Francesco</cp:lastModifiedBy>
  <dcterms:created xsi:type="dcterms:W3CDTF">2020-05-18T16:32:37Z</dcterms:created>
  <dcterms:modified xsi:type="dcterms:W3CDTF">2024-09-05T03:56:13Z</dcterms:modified>
</cp:coreProperties>
</file>