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joor\Downloads\"/>
    </mc:Choice>
  </mc:AlternateContent>
  <xr:revisionPtr revIDLastSave="0" documentId="13_ncr:1_{0C7392C3-0AB2-4A34-9B8C-C4788D2A089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4" l="1"/>
  <c r="D19" i="4"/>
  <c r="E19" i="4"/>
  <c r="F19" i="4"/>
  <c r="G19" i="4"/>
  <c r="H19" i="4"/>
  <c r="I19" i="4"/>
  <c r="B19" i="4"/>
  <c r="D18" i="4"/>
  <c r="E18" i="4"/>
  <c r="F18" i="4"/>
  <c r="G18" i="4"/>
  <c r="H18" i="4"/>
  <c r="I18" i="4"/>
  <c r="C18" i="4"/>
  <c r="C17" i="4"/>
  <c r="D17" i="4"/>
  <c r="E17" i="4"/>
  <c r="F17" i="4"/>
  <c r="G17" i="4"/>
  <c r="H17" i="4"/>
  <c r="I17" i="4"/>
  <c r="B17" i="4"/>
  <c r="C16" i="4"/>
  <c r="D16" i="4"/>
  <c r="E16" i="4"/>
  <c r="F16" i="4"/>
  <c r="G16" i="4"/>
  <c r="H16" i="4"/>
  <c r="I16" i="4"/>
  <c r="B16" i="4"/>
  <c r="C58" i="4"/>
  <c r="D58" i="4"/>
  <c r="E58" i="4"/>
  <c r="F58" i="4"/>
  <c r="G58" i="4"/>
  <c r="H58" i="4"/>
  <c r="I58" i="4"/>
  <c r="B58" i="4"/>
  <c r="C55" i="4"/>
  <c r="D55" i="4"/>
  <c r="E55" i="4"/>
  <c r="F55" i="4"/>
  <c r="G55" i="4"/>
  <c r="H55" i="4"/>
  <c r="I55" i="4"/>
  <c r="B55" i="4"/>
  <c r="C53" i="4"/>
  <c r="D53" i="4"/>
  <c r="E53" i="4"/>
  <c r="F53" i="4"/>
  <c r="G53" i="4"/>
  <c r="H53" i="4"/>
  <c r="I53" i="4"/>
  <c r="B53" i="4"/>
  <c r="D51" i="4"/>
  <c r="E51" i="4"/>
  <c r="F51" i="4"/>
  <c r="G51" i="4"/>
  <c r="H51" i="4"/>
  <c r="I51" i="4"/>
  <c r="C51" i="4"/>
  <c r="C64" i="4"/>
  <c r="D64" i="4"/>
  <c r="E64" i="4"/>
  <c r="F64" i="4"/>
  <c r="G64" i="4"/>
  <c r="H64" i="4"/>
  <c r="I64" i="4"/>
  <c r="B64" i="4"/>
  <c r="D60" i="4"/>
  <c r="E60" i="4"/>
  <c r="F60" i="4"/>
  <c r="G60" i="4"/>
  <c r="H60" i="4"/>
  <c r="I60" i="4"/>
  <c r="C60" i="4"/>
  <c r="B60" i="4"/>
  <c r="C66" i="4"/>
  <c r="D66" i="4"/>
  <c r="E66" i="4"/>
  <c r="F66" i="4"/>
  <c r="G66" i="4"/>
  <c r="H66" i="4"/>
  <c r="I66" i="4"/>
  <c r="C65" i="4"/>
  <c r="D65" i="4"/>
  <c r="E65" i="4"/>
  <c r="F65" i="4"/>
  <c r="G65" i="4"/>
  <c r="H65" i="4"/>
  <c r="I65" i="4"/>
  <c r="B65" i="4"/>
  <c r="C49" i="4"/>
  <c r="D49" i="4"/>
  <c r="E49" i="4"/>
  <c r="F49" i="4"/>
  <c r="G49" i="4"/>
  <c r="H49" i="4"/>
  <c r="I49" i="4"/>
  <c r="B49" i="4"/>
  <c r="C43" i="4"/>
  <c r="D43" i="4"/>
  <c r="E43" i="4"/>
  <c r="F43" i="4"/>
  <c r="G43" i="4"/>
  <c r="H43" i="4"/>
  <c r="I43" i="4"/>
  <c r="B43" i="4"/>
  <c r="C31" i="4"/>
  <c r="D31" i="4"/>
  <c r="E31" i="4"/>
  <c r="F31" i="4"/>
  <c r="G31" i="4"/>
  <c r="H31" i="4"/>
  <c r="I31" i="4"/>
  <c r="B31" i="4"/>
  <c r="C14" i="4"/>
  <c r="D14" i="4"/>
  <c r="E14" i="4"/>
  <c r="F14" i="4"/>
  <c r="G14" i="4"/>
  <c r="H14" i="4"/>
  <c r="I14" i="4"/>
  <c r="B14" i="4"/>
  <c r="C22" i="4"/>
  <c r="D22" i="4"/>
  <c r="E22" i="4"/>
  <c r="F22" i="4"/>
  <c r="G22" i="4"/>
  <c r="H22" i="4"/>
  <c r="I22" i="4"/>
  <c r="B22" i="4"/>
  <c r="C70" i="4"/>
  <c r="D70" i="4"/>
  <c r="E70" i="4"/>
  <c r="F70" i="4"/>
  <c r="G70" i="4"/>
  <c r="H70" i="4"/>
  <c r="I70" i="4"/>
  <c r="B70" i="4"/>
  <c r="C13" i="4"/>
  <c r="D13" i="4"/>
  <c r="E13" i="4"/>
  <c r="F13" i="4"/>
  <c r="G13" i="4"/>
  <c r="H13" i="4"/>
  <c r="I13" i="4"/>
  <c r="B13" i="4"/>
  <c r="C11" i="4"/>
  <c r="D11" i="4"/>
  <c r="E11" i="4"/>
  <c r="F11" i="4"/>
  <c r="G11" i="4"/>
  <c r="H11" i="4"/>
  <c r="I11" i="4"/>
  <c r="B11" i="4"/>
  <c r="C52" i="4"/>
  <c r="D52" i="4"/>
  <c r="E52" i="4"/>
  <c r="F52" i="4"/>
  <c r="G52" i="4"/>
  <c r="H52" i="4"/>
  <c r="I52" i="4"/>
  <c r="B52" i="4"/>
  <c r="B59" i="4"/>
  <c r="C59" i="4"/>
  <c r="D59" i="4"/>
  <c r="E59" i="4"/>
  <c r="F59" i="4"/>
  <c r="G59" i="4"/>
  <c r="H59" i="4"/>
  <c r="I59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66" i="4"/>
  <c r="C68" i="4"/>
  <c r="D68" i="4"/>
  <c r="E68" i="4"/>
  <c r="F68" i="4"/>
  <c r="G68" i="4"/>
  <c r="H68" i="4"/>
  <c r="I68" i="4"/>
  <c r="C67" i="4"/>
  <c r="D67" i="4"/>
  <c r="E67" i="4"/>
  <c r="F67" i="4"/>
  <c r="G67" i="4"/>
  <c r="H67" i="4"/>
  <c r="I67" i="4"/>
  <c r="B68" i="4"/>
  <c r="B67" i="4"/>
  <c r="C62" i="4"/>
  <c r="D62" i="4"/>
  <c r="E62" i="4"/>
  <c r="F62" i="4"/>
  <c r="G62" i="4"/>
  <c r="H62" i="4"/>
  <c r="I62" i="4"/>
  <c r="B62" i="4"/>
  <c r="B50" i="4"/>
  <c r="C24" i="4"/>
  <c r="D24" i="4"/>
  <c r="E24" i="4"/>
  <c r="F24" i="4"/>
  <c r="G24" i="4"/>
  <c r="H24" i="4"/>
  <c r="I24" i="4"/>
  <c r="B24" i="4"/>
  <c r="C35" i="4"/>
  <c r="D35" i="4"/>
  <c r="E35" i="4"/>
  <c r="F35" i="4"/>
  <c r="G35" i="4"/>
  <c r="H35" i="4"/>
  <c r="I35" i="4"/>
  <c r="B35" i="4"/>
  <c r="C38" i="4"/>
  <c r="D38" i="4"/>
  <c r="E38" i="4"/>
  <c r="F38" i="4"/>
  <c r="G38" i="4"/>
  <c r="H38" i="4"/>
  <c r="I38" i="4"/>
  <c r="B38" i="4"/>
  <c r="I40" i="4"/>
  <c r="H40" i="4"/>
  <c r="G40" i="4"/>
  <c r="F40" i="4"/>
  <c r="E40" i="4"/>
  <c r="D40" i="4"/>
  <c r="C40" i="4"/>
  <c r="B40" i="4"/>
  <c r="C32" i="4"/>
  <c r="D32" i="4"/>
  <c r="E32" i="4"/>
  <c r="F32" i="4"/>
  <c r="G32" i="4"/>
  <c r="H32" i="4"/>
  <c r="I32" i="4"/>
  <c r="B32" i="4"/>
  <c r="C61" i="4"/>
  <c r="D61" i="4"/>
  <c r="E61" i="4"/>
  <c r="F61" i="4"/>
  <c r="G61" i="4"/>
  <c r="H61" i="4"/>
  <c r="I61" i="4"/>
  <c r="C47" i="4"/>
  <c r="D47" i="4"/>
  <c r="E47" i="4"/>
  <c r="F47" i="4"/>
  <c r="G47" i="4"/>
  <c r="H47" i="4"/>
  <c r="I47" i="4"/>
  <c r="C46" i="4"/>
  <c r="D46" i="4"/>
  <c r="E46" i="4"/>
  <c r="F46" i="4"/>
  <c r="G46" i="4"/>
  <c r="H46" i="4"/>
  <c r="I46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I41" i="4"/>
  <c r="C39" i="4"/>
  <c r="D39" i="4"/>
  <c r="E39" i="4"/>
  <c r="F39" i="4"/>
  <c r="G39" i="4"/>
  <c r="H39" i="4"/>
  <c r="I39" i="4"/>
  <c r="D37" i="4"/>
  <c r="E37" i="4"/>
  <c r="G37" i="4"/>
  <c r="H37" i="4"/>
  <c r="I37" i="4"/>
  <c r="C36" i="4"/>
  <c r="D36" i="4"/>
  <c r="E36" i="4"/>
  <c r="F36" i="4"/>
  <c r="G36" i="4"/>
  <c r="H36" i="4"/>
  <c r="I36" i="4"/>
  <c r="C34" i="4"/>
  <c r="D34" i="4"/>
  <c r="E34" i="4"/>
  <c r="F34" i="4"/>
  <c r="G34" i="4"/>
  <c r="H34" i="4"/>
  <c r="I34" i="4"/>
  <c r="C33" i="4"/>
  <c r="D33" i="4"/>
  <c r="E33" i="4"/>
  <c r="F33" i="4"/>
  <c r="G33" i="4"/>
  <c r="H33" i="4"/>
  <c r="I33" i="4"/>
  <c r="C30" i="4"/>
  <c r="D30" i="4"/>
  <c r="E30" i="4"/>
  <c r="F30" i="4"/>
  <c r="G30" i="4"/>
  <c r="H30" i="4"/>
  <c r="I30" i="4"/>
  <c r="C29" i="4"/>
  <c r="D29" i="4"/>
  <c r="E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C23" i="4"/>
  <c r="D23" i="4"/>
  <c r="E23" i="4"/>
  <c r="F23" i="4"/>
  <c r="G23" i="4"/>
  <c r="H23" i="4"/>
  <c r="I23" i="4"/>
  <c r="C21" i="4"/>
  <c r="D21" i="4"/>
  <c r="E21" i="4"/>
  <c r="F21" i="4"/>
  <c r="G21" i="4"/>
  <c r="H21" i="4"/>
  <c r="I21" i="4"/>
  <c r="C15" i="4"/>
  <c r="D15" i="4"/>
  <c r="E15" i="4"/>
  <c r="F15" i="4"/>
  <c r="G15" i="4"/>
  <c r="H15" i="4"/>
  <c r="I15" i="4"/>
  <c r="C12" i="4"/>
  <c r="D12" i="4"/>
  <c r="E12" i="4"/>
  <c r="F12" i="4"/>
  <c r="G12" i="4"/>
  <c r="H12" i="4"/>
  <c r="I12" i="4"/>
  <c r="C10" i="4"/>
  <c r="D10" i="4"/>
  <c r="E10" i="4"/>
  <c r="F10" i="4"/>
  <c r="G10" i="4"/>
  <c r="H10" i="4"/>
  <c r="I10" i="4"/>
  <c r="C9" i="4"/>
  <c r="D9" i="4"/>
  <c r="E9" i="4"/>
  <c r="F9" i="4"/>
  <c r="G9" i="4"/>
  <c r="H9" i="4"/>
  <c r="I9" i="4"/>
  <c r="J9" i="4"/>
  <c r="K9" i="4"/>
  <c r="L9" i="4"/>
  <c r="M9" i="4"/>
  <c r="N9" i="4"/>
  <c r="C8" i="4"/>
  <c r="D8" i="4"/>
  <c r="E8" i="4"/>
  <c r="F8" i="4"/>
  <c r="G8" i="4"/>
  <c r="H8" i="4"/>
  <c r="I8" i="4"/>
  <c r="C7" i="4"/>
  <c r="D7" i="4"/>
  <c r="E7" i="4"/>
  <c r="F7" i="4"/>
  <c r="G7" i="4"/>
  <c r="H7" i="4"/>
  <c r="I7" i="4"/>
  <c r="C6" i="4"/>
  <c r="D6" i="4"/>
  <c r="E6" i="4"/>
  <c r="F6" i="4"/>
  <c r="G6" i="4"/>
  <c r="H6" i="4"/>
  <c r="I6" i="4"/>
  <c r="J6" i="4"/>
  <c r="K6" i="4"/>
  <c r="L6" i="4"/>
  <c r="M6" i="4"/>
  <c r="N6" i="4"/>
  <c r="C5" i="4"/>
  <c r="D5" i="4"/>
  <c r="E5" i="4"/>
  <c r="F5" i="4"/>
  <c r="G5" i="4"/>
  <c r="H5" i="4"/>
  <c r="I5" i="4"/>
  <c r="C4" i="4"/>
  <c r="D4" i="4"/>
  <c r="E4" i="4"/>
  <c r="F4" i="4"/>
  <c r="G4" i="4"/>
  <c r="H4" i="4"/>
  <c r="I4" i="4"/>
  <c r="B61" i="4"/>
  <c r="C63" i="4"/>
  <c r="D63" i="4"/>
  <c r="E63" i="4"/>
  <c r="F63" i="4"/>
  <c r="G63" i="4"/>
  <c r="H63" i="4"/>
  <c r="I63" i="4"/>
  <c r="C57" i="4"/>
  <c r="D57" i="4"/>
  <c r="E57" i="4"/>
  <c r="F57" i="4"/>
  <c r="G57" i="4"/>
  <c r="H57" i="4"/>
  <c r="I57" i="4"/>
  <c r="B63" i="4"/>
  <c r="B57" i="4"/>
  <c r="B47" i="4"/>
  <c r="B46" i="4"/>
  <c r="B42" i="4"/>
  <c r="B41" i="4"/>
  <c r="B39" i="4"/>
  <c r="B36" i="4"/>
  <c r="B34" i="4"/>
  <c r="B33" i="4"/>
  <c r="B30" i="4"/>
  <c r="B29" i="4"/>
  <c r="B28" i="4"/>
  <c r="B27" i="4"/>
  <c r="B26" i="4"/>
  <c r="B25" i="4"/>
  <c r="B23" i="4"/>
  <c r="B21" i="4"/>
  <c r="B15" i="4"/>
  <c r="B12" i="4"/>
  <c r="B10" i="4"/>
  <c r="B9" i="4"/>
  <c r="B8" i="4"/>
  <c r="B7" i="4"/>
  <c r="B6" i="4"/>
  <c r="B5" i="4"/>
  <c r="B4" i="4"/>
  <c r="C3" i="4"/>
  <c r="D3" i="4"/>
  <c r="E3" i="4"/>
  <c r="F3" i="4"/>
  <c r="G3" i="4"/>
  <c r="H3" i="4"/>
  <c r="I3" i="4"/>
  <c r="B3" i="4"/>
  <c r="C60" i="1"/>
  <c r="G175" i="1"/>
  <c r="G176" i="1" s="1"/>
  <c r="F175" i="1"/>
  <c r="F176" i="1" s="1"/>
  <c r="C175" i="1"/>
  <c r="C176" i="1" s="1"/>
  <c r="B175" i="1"/>
  <c r="B176" i="1" s="1"/>
  <c r="G172" i="1"/>
  <c r="F172" i="1"/>
  <c r="E172" i="1"/>
  <c r="E175" i="1" s="1"/>
  <c r="E176" i="1" s="1"/>
  <c r="D172" i="1"/>
  <c r="D175" i="1" s="1"/>
  <c r="D176" i="1" s="1"/>
  <c r="C172" i="1"/>
  <c r="B172" i="1"/>
  <c r="C165" i="1"/>
  <c r="C164" i="1"/>
  <c r="G163" i="1"/>
  <c r="F163" i="1"/>
  <c r="C163" i="1"/>
  <c r="B163" i="1"/>
  <c r="G161" i="1"/>
  <c r="G164" i="1" s="1"/>
  <c r="G165" i="1" s="1"/>
  <c r="F161" i="1"/>
  <c r="F164" i="1" s="1"/>
  <c r="F165" i="1" s="1"/>
  <c r="E161" i="1"/>
  <c r="E163" i="1" s="1"/>
  <c r="D161" i="1"/>
  <c r="D163" i="1" s="1"/>
  <c r="C161" i="1"/>
  <c r="B161" i="1"/>
  <c r="B164" i="1" s="1"/>
  <c r="B165" i="1" s="1"/>
  <c r="E154" i="1"/>
  <c r="C154" i="1"/>
  <c r="E153" i="1"/>
  <c r="D153" i="1"/>
  <c r="D154" i="1" s="1"/>
  <c r="C153" i="1"/>
  <c r="G150" i="1"/>
  <c r="G153" i="1" s="1"/>
  <c r="G154" i="1" s="1"/>
  <c r="F150" i="1"/>
  <c r="F153" i="1" s="1"/>
  <c r="F154" i="1" s="1"/>
  <c r="E150" i="1"/>
  <c r="D150" i="1"/>
  <c r="C150" i="1"/>
  <c r="B150" i="1"/>
  <c r="B153" i="1" s="1"/>
  <c r="B154" i="1" s="1"/>
  <c r="G143" i="1"/>
  <c r="E143" i="1"/>
  <c r="G142" i="1"/>
  <c r="F142" i="1"/>
  <c r="F143" i="1" s="1"/>
  <c r="E142" i="1"/>
  <c r="C142" i="1"/>
  <c r="C143" i="1" s="1"/>
  <c r="B142" i="1"/>
  <c r="B143" i="1" s="1"/>
  <c r="G139" i="1"/>
  <c r="F139" i="1"/>
  <c r="E139" i="1"/>
  <c r="D139" i="1"/>
  <c r="D142" i="1" s="1"/>
  <c r="D143" i="1" s="1"/>
  <c r="C139" i="1"/>
  <c r="B139" i="1"/>
  <c r="G132" i="1"/>
  <c r="B132" i="1"/>
  <c r="G131" i="1"/>
  <c r="E131" i="1"/>
  <c r="E132" i="1" s="1"/>
  <c r="D131" i="1"/>
  <c r="D132" i="1" s="1"/>
  <c r="G124" i="1"/>
  <c r="F124" i="1"/>
  <c r="F131" i="1" s="1"/>
  <c r="F132" i="1" s="1"/>
  <c r="E124" i="1"/>
  <c r="D124" i="1"/>
  <c r="C124" i="1"/>
  <c r="C131" i="1" s="1"/>
  <c r="C132" i="1" s="1"/>
  <c r="B124" i="1"/>
  <c r="B131" i="1" s="1"/>
  <c r="G97" i="1"/>
  <c r="F97" i="1"/>
  <c r="E97" i="1"/>
  <c r="D97" i="1"/>
  <c r="C97" i="1"/>
  <c r="B97" i="1"/>
  <c r="G94" i="1"/>
  <c r="F94" i="1"/>
  <c r="G92" i="1"/>
  <c r="F92" i="1"/>
  <c r="E92" i="1"/>
  <c r="D92" i="1"/>
  <c r="C92" i="1"/>
  <c r="B92" i="1"/>
  <c r="G83" i="1"/>
  <c r="F83" i="1"/>
  <c r="E83" i="1"/>
  <c r="E94" i="1" s="1"/>
  <c r="D83" i="1"/>
  <c r="D94" i="1" s="1"/>
  <c r="C83" i="1"/>
  <c r="C94" i="1" s="1"/>
  <c r="B83" i="1"/>
  <c r="B94" i="1" s="1"/>
  <c r="G76" i="1"/>
  <c r="F76" i="1"/>
  <c r="E76" i="1"/>
  <c r="D76" i="1"/>
  <c r="C76" i="1"/>
  <c r="B76" i="1"/>
  <c r="G59" i="1"/>
  <c r="G58" i="1"/>
  <c r="F58" i="1"/>
  <c r="E58" i="1"/>
  <c r="E59" i="1" s="1"/>
  <c r="D58" i="1"/>
  <c r="C58" i="1"/>
  <c r="B58" i="1"/>
  <c r="G12" i="1"/>
  <c r="F12" i="1"/>
  <c r="E12" i="1"/>
  <c r="D12" i="1"/>
  <c r="C12" i="1"/>
  <c r="B12" i="1"/>
  <c r="G7" i="1"/>
  <c r="F7" i="1"/>
  <c r="E7" i="1"/>
  <c r="D7" i="1"/>
  <c r="C7" i="1"/>
  <c r="B7" i="1"/>
  <c r="G4" i="1"/>
  <c r="F4" i="1"/>
  <c r="E4" i="1"/>
  <c r="D4" i="1"/>
  <c r="C4" i="1"/>
  <c r="B4" i="1"/>
  <c r="I50" i="3"/>
  <c r="J50" i="3" s="1"/>
  <c r="F50" i="3"/>
  <c r="E50" i="3"/>
  <c r="F49" i="3"/>
  <c r="C49" i="3"/>
  <c r="B49" i="3"/>
  <c r="I48" i="3"/>
  <c r="I49" i="3" s="1"/>
  <c r="H48" i="3"/>
  <c r="H49" i="3" s="1"/>
  <c r="G48" i="3"/>
  <c r="G49" i="3" s="1"/>
  <c r="F48" i="3"/>
  <c r="E48" i="3"/>
  <c r="E49" i="3" s="1"/>
  <c r="D48" i="3"/>
  <c r="D50" i="3" s="1"/>
  <c r="C48" i="3"/>
  <c r="C50" i="3" s="1"/>
  <c r="B48" i="3"/>
  <c r="B50" i="3" s="1"/>
  <c r="E47" i="3"/>
  <c r="D47" i="3"/>
  <c r="I46" i="3"/>
  <c r="E46" i="3"/>
  <c r="B46" i="3"/>
  <c r="I45" i="3"/>
  <c r="I47" i="3" s="1"/>
  <c r="J47" i="3" s="1"/>
  <c r="K47" i="3" s="1"/>
  <c r="L47" i="3" s="1"/>
  <c r="M47" i="3" s="1"/>
  <c r="N47" i="3" s="1"/>
  <c r="H45" i="3"/>
  <c r="H46" i="3" s="1"/>
  <c r="G45" i="3"/>
  <c r="G46" i="3" s="1"/>
  <c r="F45" i="3"/>
  <c r="F46" i="3" s="1"/>
  <c r="E45" i="3"/>
  <c r="D45" i="3"/>
  <c r="D46" i="3" s="1"/>
  <c r="C45" i="3"/>
  <c r="C47" i="3" s="1"/>
  <c r="B45" i="3"/>
  <c r="B47" i="3" s="1"/>
  <c r="G44" i="3"/>
  <c r="C44" i="3"/>
  <c r="I43" i="3"/>
  <c r="H43" i="3"/>
  <c r="D43" i="3"/>
  <c r="I42" i="3"/>
  <c r="I44" i="3" s="1"/>
  <c r="H42" i="3"/>
  <c r="H44" i="3" s="1"/>
  <c r="G42" i="3"/>
  <c r="G43" i="3" s="1"/>
  <c r="F42" i="3"/>
  <c r="F43" i="3" s="1"/>
  <c r="E42" i="3"/>
  <c r="E43" i="3" s="1"/>
  <c r="D42" i="3"/>
  <c r="C42" i="3"/>
  <c r="C43" i="3" s="1"/>
  <c r="B42" i="3"/>
  <c r="B44" i="3" s="1"/>
  <c r="F41" i="3"/>
  <c r="C41" i="3"/>
  <c r="B41" i="3"/>
  <c r="G40" i="3"/>
  <c r="C40" i="3"/>
  <c r="H39" i="3"/>
  <c r="E39" i="3"/>
  <c r="D39" i="3"/>
  <c r="I38" i="3"/>
  <c r="I41" i="3" s="1"/>
  <c r="J41" i="3" s="1"/>
  <c r="H38" i="3"/>
  <c r="H41" i="3" s="1"/>
  <c r="G38" i="3"/>
  <c r="G41" i="3" s="1"/>
  <c r="F38" i="3"/>
  <c r="F40" i="3" s="1"/>
  <c r="E38" i="3"/>
  <c r="E40" i="3" s="1"/>
  <c r="D38" i="3"/>
  <c r="D40" i="3" s="1"/>
  <c r="C38" i="3"/>
  <c r="C39" i="3" s="1"/>
  <c r="B38" i="3"/>
  <c r="B39" i="3" s="1"/>
  <c r="G37" i="3"/>
  <c r="D36" i="3"/>
  <c r="H35" i="3"/>
  <c r="H36" i="3" s="1"/>
  <c r="G35" i="3"/>
  <c r="D35" i="3"/>
  <c r="D37" i="3" s="1"/>
  <c r="C35" i="3"/>
  <c r="C37" i="3" s="1"/>
  <c r="M34" i="3"/>
  <c r="N34" i="3" s="1"/>
  <c r="L34" i="3"/>
  <c r="K34" i="3"/>
  <c r="M33" i="3"/>
  <c r="N33" i="3" s="1"/>
  <c r="L33" i="3"/>
  <c r="K33" i="3"/>
  <c r="I33" i="3"/>
  <c r="H33" i="3"/>
  <c r="G33" i="3"/>
  <c r="F33" i="3"/>
  <c r="E33" i="3"/>
  <c r="D33" i="3"/>
  <c r="C33" i="3"/>
  <c r="B33" i="3"/>
  <c r="M32" i="3"/>
  <c r="L32" i="3"/>
  <c r="K32" i="3"/>
  <c r="J32" i="3"/>
  <c r="I32" i="3"/>
  <c r="I34" i="3" s="1"/>
  <c r="F32" i="3"/>
  <c r="F34" i="3" s="1"/>
  <c r="E32" i="3"/>
  <c r="E34" i="3" s="1"/>
  <c r="J31" i="3"/>
  <c r="K31" i="3" s="1"/>
  <c r="L31" i="3" s="1"/>
  <c r="M31" i="3" s="1"/>
  <c r="I31" i="3"/>
  <c r="H31" i="3"/>
  <c r="H32" i="3" s="1"/>
  <c r="H34" i="3" s="1"/>
  <c r="G31" i="3"/>
  <c r="G32" i="3" s="1"/>
  <c r="G34" i="3" s="1"/>
  <c r="F31" i="3"/>
  <c r="E31" i="3"/>
  <c r="D31" i="3"/>
  <c r="D32" i="3" s="1"/>
  <c r="D34" i="3" s="1"/>
  <c r="C31" i="3"/>
  <c r="C32" i="3" s="1"/>
  <c r="C34" i="3" s="1"/>
  <c r="B31" i="3"/>
  <c r="B32" i="3" s="1"/>
  <c r="B34" i="3" s="1"/>
  <c r="K30" i="3"/>
  <c r="L30" i="3" s="1"/>
  <c r="M30" i="3" s="1"/>
  <c r="N30" i="3" s="1"/>
  <c r="K29" i="3"/>
  <c r="K28" i="3" s="1"/>
  <c r="I29" i="3"/>
  <c r="H29" i="3"/>
  <c r="G29" i="3"/>
  <c r="F29" i="3"/>
  <c r="E29" i="3"/>
  <c r="D29" i="3"/>
  <c r="C29" i="3"/>
  <c r="B29" i="3"/>
  <c r="J28" i="3"/>
  <c r="H28" i="3"/>
  <c r="H30" i="3" s="1"/>
  <c r="G28" i="3"/>
  <c r="G30" i="3" s="1"/>
  <c r="C28" i="3"/>
  <c r="C30" i="3" s="1"/>
  <c r="I27" i="3"/>
  <c r="J27" i="3" s="1"/>
  <c r="H27" i="3"/>
  <c r="G27" i="3"/>
  <c r="F27" i="3"/>
  <c r="F28" i="3" s="1"/>
  <c r="F30" i="3" s="1"/>
  <c r="E27" i="3"/>
  <c r="E28" i="3" s="1"/>
  <c r="E30" i="3" s="1"/>
  <c r="D27" i="3"/>
  <c r="D28" i="3" s="1"/>
  <c r="D30" i="3" s="1"/>
  <c r="C27" i="3"/>
  <c r="B27" i="3"/>
  <c r="B28" i="3" s="1"/>
  <c r="B30" i="3" s="1"/>
  <c r="M26" i="3"/>
  <c r="N26" i="3" s="1"/>
  <c r="L26" i="3"/>
  <c r="K26" i="3"/>
  <c r="K25" i="3"/>
  <c r="L25" i="3" s="1"/>
  <c r="I25" i="3"/>
  <c r="H25" i="3"/>
  <c r="G25" i="3"/>
  <c r="F25" i="3"/>
  <c r="E25" i="3"/>
  <c r="D25" i="3"/>
  <c r="C25" i="3"/>
  <c r="B25" i="3"/>
  <c r="K24" i="3"/>
  <c r="J24" i="3"/>
  <c r="J23" i="3" s="1"/>
  <c r="I24" i="3"/>
  <c r="I26" i="3" s="1"/>
  <c r="E24" i="3"/>
  <c r="E26" i="3" s="1"/>
  <c r="B24" i="3"/>
  <c r="B26" i="3" s="1"/>
  <c r="I23" i="3"/>
  <c r="H23" i="3"/>
  <c r="H24" i="3" s="1"/>
  <c r="H26" i="3" s="1"/>
  <c r="G23" i="3"/>
  <c r="G24" i="3" s="1"/>
  <c r="G26" i="3" s="1"/>
  <c r="F23" i="3"/>
  <c r="F24" i="3" s="1"/>
  <c r="F26" i="3" s="1"/>
  <c r="E23" i="3"/>
  <c r="D23" i="3"/>
  <c r="D24" i="3" s="1"/>
  <c r="D26" i="3" s="1"/>
  <c r="C23" i="3"/>
  <c r="C24" i="3" s="1"/>
  <c r="C26" i="3" s="1"/>
  <c r="B23" i="3"/>
  <c r="G22" i="3"/>
  <c r="D22" i="3"/>
  <c r="C22" i="3"/>
  <c r="I21" i="3"/>
  <c r="I22" i="3" s="1"/>
  <c r="H21" i="3"/>
  <c r="H47" i="3" s="1"/>
  <c r="G21" i="3"/>
  <c r="F21" i="3"/>
  <c r="F22" i="3" s="1"/>
  <c r="E21" i="3"/>
  <c r="E22" i="3" s="1"/>
  <c r="D21" i="3"/>
  <c r="D44" i="3" s="1"/>
  <c r="C21" i="3"/>
  <c r="B21" i="3"/>
  <c r="B22" i="3" s="1"/>
  <c r="D164" i="1" l="1"/>
  <c r="D165" i="1" s="1"/>
  <c r="E164" i="1"/>
  <c r="E165" i="1" s="1"/>
  <c r="K23" i="3"/>
  <c r="J21" i="3"/>
  <c r="M25" i="3"/>
  <c r="L24" i="3"/>
  <c r="K27" i="3"/>
  <c r="N32" i="3"/>
  <c r="N31" i="3" s="1"/>
  <c r="K41" i="3"/>
  <c r="J49" i="3"/>
  <c r="K50" i="3"/>
  <c r="I28" i="3"/>
  <c r="I30" i="3" s="1"/>
  <c r="B35" i="3"/>
  <c r="H37" i="3"/>
  <c r="F39" i="3"/>
  <c r="I40" i="3"/>
  <c r="D41" i="3"/>
  <c r="B43" i="3"/>
  <c r="E44" i="3"/>
  <c r="C46" i="3"/>
  <c r="F47" i="3"/>
  <c r="D49" i="3"/>
  <c r="G50" i="3"/>
  <c r="I35" i="3"/>
  <c r="H40" i="3"/>
  <c r="G39" i="3"/>
  <c r="B40" i="3"/>
  <c r="E41" i="3"/>
  <c r="F44" i="3"/>
  <c r="G47" i="3"/>
  <c r="H50" i="3"/>
  <c r="L29" i="3"/>
  <c r="H22" i="3"/>
  <c r="E35" i="3"/>
  <c r="I39" i="3"/>
  <c r="F35" i="3"/>
  <c r="L28" i="3" l="1"/>
  <c r="M29" i="3"/>
  <c r="I36" i="3"/>
  <c r="I37" i="3"/>
  <c r="J37" i="3" s="1"/>
  <c r="K37" i="3" s="1"/>
  <c r="L37" i="3" s="1"/>
  <c r="M37" i="3" s="1"/>
  <c r="N37" i="3" s="1"/>
  <c r="L41" i="3"/>
  <c r="L27" i="3"/>
  <c r="G36" i="3"/>
  <c r="F37" i="3"/>
  <c r="F36" i="3"/>
  <c r="B36" i="3"/>
  <c r="B37" i="3"/>
  <c r="C36" i="3"/>
  <c r="L50" i="3"/>
  <c r="K49" i="3"/>
  <c r="M24" i="3"/>
  <c r="N25" i="3"/>
  <c r="N24" i="3" s="1"/>
  <c r="E37" i="3"/>
  <c r="E36" i="3"/>
  <c r="J22" i="3"/>
  <c r="J45" i="3"/>
  <c r="J46" i="3" s="1"/>
  <c r="J48" i="3"/>
  <c r="J38" i="3" s="1"/>
  <c r="J35" i="3"/>
  <c r="L23" i="3"/>
  <c r="K21" i="3"/>
  <c r="M23" i="3" l="1"/>
  <c r="L21" i="3"/>
  <c r="M41" i="3"/>
  <c r="M28" i="3"/>
  <c r="M27" i="3" s="1"/>
  <c r="N27" i="3" s="1"/>
  <c r="N29" i="3"/>
  <c r="N28" i="3" s="1"/>
  <c r="J36" i="3"/>
  <c r="J42" i="3"/>
  <c r="J39" i="3"/>
  <c r="J40" i="3"/>
  <c r="M50" i="3"/>
  <c r="L49" i="3"/>
  <c r="K48" i="3"/>
  <c r="K38" i="3" s="1"/>
  <c r="K45" i="3"/>
  <c r="K46" i="3" s="1"/>
  <c r="K22" i="3"/>
  <c r="K35" i="3"/>
  <c r="K39" i="3" l="1"/>
  <c r="K40" i="3"/>
  <c r="N50" i="3"/>
  <c r="N49" i="3" s="1"/>
  <c r="M49" i="3"/>
  <c r="N41" i="3"/>
  <c r="L45" i="3"/>
  <c r="L46" i="3" s="1"/>
  <c r="L48" i="3"/>
  <c r="L38" i="3" s="1"/>
  <c r="L35" i="3"/>
  <c r="L22" i="3"/>
  <c r="K36" i="3"/>
  <c r="K42" i="3"/>
  <c r="J44" i="3"/>
  <c r="J43" i="3"/>
  <c r="N23" i="3"/>
  <c r="N21" i="3" s="1"/>
  <c r="M21" i="3"/>
  <c r="N48" i="3" l="1"/>
  <c r="N38" i="3" s="1"/>
  <c r="N45" i="3"/>
  <c r="N35" i="3"/>
  <c r="N22" i="3"/>
  <c r="M45" i="3"/>
  <c r="M46" i="3" s="1"/>
  <c r="M48" i="3"/>
  <c r="M38" i="3" s="1"/>
  <c r="M35" i="3"/>
  <c r="M22" i="3"/>
  <c r="L40" i="3"/>
  <c r="L39" i="3"/>
  <c r="K44" i="3"/>
  <c r="K43" i="3"/>
  <c r="L42" i="3"/>
  <c r="L36" i="3"/>
  <c r="N40" i="3" l="1"/>
  <c r="N39" i="3"/>
  <c r="M42" i="3"/>
  <c r="M36" i="3"/>
  <c r="L43" i="3"/>
  <c r="L44" i="3"/>
  <c r="M40" i="3"/>
  <c r="M39" i="3"/>
  <c r="N36" i="3"/>
  <c r="N42" i="3"/>
  <c r="N46" i="3"/>
  <c r="M43" i="3" l="1"/>
  <c r="M44" i="3"/>
  <c r="N43" i="3"/>
  <c r="N44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16" i="3" l="1"/>
  <c r="H16" i="3"/>
  <c r="G16" i="3"/>
  <c r="F16" i="3"/>
  <c r="E16" i="3"/>
  <c r="D16" i="3"/>
  <c r="C16" i="3"/>
  <c r="B16" i="3"/>
  <c r="A20" i="3" l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172" i="1" l="1"/>
  <c r="I175" i="1" s="1"/>
  <c r="I176" i="1" s="1"/>
  <c r="H172" i="1"/>
  <c r="H175" i="1" s="1"/>
  <c r="H176" i="1" s="1"/>
  <c r="I161" i="1"/>
  <c r="I163" i="1" s="1"/>
  <c r="I164" i="1" s="1"/>
  <c r="I165" i="1" s="1"/>
  <c r="H161" i="1"/>
  <c r="H163" i="1" s="1"/>
  <c r="H164" i="1" s="1"/>
  <c r="H165" i="1" s="1"/>
  <c r="H125" i="1"/>
  <c r="I125" i="1"/>
  <c r="I150" i="1"/>
  <c r="I153" i="1" s="1"/>
  <c r="I154" i="1" s="1"/>
  <c r="H150" i="1"/>
  <c r="H153" i="1" s="1"/>
  <c r="H154" i="1" s="1"/>
  <c r="I119" i="1" l="1"/>
  <c r="H119" i="1"/>
  <c r="I115" i="1"/>
  <c r="H115" i="1"/>
  <c r="I111" i="1"/>
  <c r="H111" i="1"/>
  <c r="H107" i="1"/>
  <c r="I107" i="1"/>
  <c r="I139" i="1"/>
  <c r="I142" i="1" s="1"/>
  <c r="H139" i="1"/>
  <c r="H142" i="1" s="1"/>
  <c r="H124" i="1" l="1"/>
  <c r="H131" i="1" s="1"/>
  <c r="H132" i="1" s="1"/>
  <c r="I124" i="1"/>
  <c r="I131" i="1" l="1"/>
  <c r="H92" i="1"/>
  <c r="I92" i="1"/>
  <c r="H83" i="1"/>
  <c r="I83" i="1"/>
  <c r="H58" i="1"/>
  <c r="I58" i="1"/>
  <c r="H45" i="1"/>
  <c r="H59" i="1" s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I7" i="1"/>
  <c r="H4" i="1"/>
  <c r="H10" i="1" s="1"/>
  <c r="I4" i="1"/>
  <c r="I10" i="1" s="1"/>
  <c r="H12" i="1" l="1"/>
  <c r="H20" i="1" s="1"/>
  <c r="H143" i="1"/>
  <c r="I12" i="1"/>
  <c r="I20" i="1" s="1"/>
  <c r="I143" i="1"/>
  <c r="H64" i="1"/>
  <c r="H76" i="1" s="1"/>
  <c r="H94" i="1" s="1"/>
  <c r="H96" i="1" s="1"/>
  <c r="B60" i="1"/>
  <c r="E60" i="1"/>
  <c r="F60" i="1"/>
  <c r="I59" i="1"/>
  <c r="I60" i="1" s="1"/>
  <c r="G60" i="1"/>
  <c r="H60" i="1"/>
  <c r="D60" i="1"/>
  <c r="I64" i="1" l="1"/>
  <c r="I76" i="1" s="1"/>
  <c r="I94" i="1" s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<sst xmlns="http://schemas.openxmlformats.org/spreadsheetml/2006/main" count="349" uniqueCount="210">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</sst>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6" fillId="8" borderId="0" xfId="1" applyNumberFormat="1" applyFont="1" applyFill="1"/>
    <xf numFmtId="164" fontId="5" fillId="0" borderId="0" xfId="1" applyFont="1" applyBorder="1"/>
    <xf numFmtId="0" fontId="2" fillId="0" borderId="0" xfId="0" applyFont="1" applyAlignment="1">
      <alignment horizontal="right"/>
    </xf>
    <xf numFmtId="9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4" fontId="0" fillId="0" borderId="0" xfId="0" applyNumberFormat="1"/>
    <xf numFmtId="165" fontId="0" fillId="0" borderId="0" xfId="3" applyNumberFormat="1" applyFont="1"/>
    <xf numFmtId="165" fontId="2" fillId="0" borderId="0" xfId="3" applyNumberFormat="1" applyFont="1"/>
    <xf numFmtId="3" fontId="2" fillId="0" borderId="0" xfId="0" applyNumberFormat="1" applyFont="1"/>
    <xf numFmtId="3" fontId="2" fillId="0" borderId="5" xfId="0" applyNumberFormat="1" applyFont="1" applyBorder="1"/>
    <xf numFmtId="0" fontId="2" fillId="0" borderId="0" xfId="0" applyFont="1" applyAlignment="1">
      <alignment horizontal="left" indent="2"/>
    </xf>
    <xf numFmtId="0" fontId="0" fillId="0" borderId="0" xfId="0" applyFill="1"/>
    <xf numFmtId="165" fontId="13" fillId="0" borderId="0" xfId="1" applyNumberFormat="1" applyFont="1" applyFill="1" applyAlignment="1">
      <alignment horizontal="left"/>
    </xf>
    <xf numFmtId="0" fontId="2" fillId="0" borderId="4" xfId="0" applyFont="1" applyFill="1" applyBorder="1"/>
    <xf numFmtId="165" fontId="5" fillId="0" borderId="0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joor\Downloads\$FRANK-WISDOM%201710155371_Task%209%20-%20Building%20Operational%20Forecast%20Model(1).xlsx" TargetMode="External"/><Relationship Id="rId1" Type="http://schemas.openxmlformats.org/officeDocument/2006/relationships/externalLinkPath" Target="$FRANK-WISDOM%201710155371_Task%209%20-%20Building%20Operational%20Forecast%20Model(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joor\Downloads\&amp;FRANK-WISDOM%201730913522_Task%2010%20-%20Linking%20Balance%20sheet.xlsx" TargetMode="External"/><Relationship Id="rId1" Type="http://schemas.openxmlformats.org/officeDocument/2006/relationships/externalLinkPath" Target="&amp;FRANK-WISDOM%201730913522_Task%2010%20-%20Linking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07"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</row>
        <row r="180">
          <cell r="B180">
            <v>0.08</v>
          </cell>
          <cell r="C180">
            <v>0.1</v>
          </cell>
          <cell r="D180">
            <v>0.04</v>
          </cell>
          <cell r="E180">
            <v>-0.04</v>
          </cell>
          <cell r="F180">
            <v>0.08</v>
          </cell>
          <cell r="G180">
            <v>-7.0000000000000007E-2</v>
          </cell>
        </row>
        <row r="182">
          <cell r="B182">
            <v>-0.13</v>
          </cell>
          <cell r="C182">
            <v>-0.13</v>
          </cell>
          <cell r="D182">
            <v>-0.1</v>
          </cell>
          <cell r="E182">
            <v>-0.08</v>
          </cell>
          <cell r="F182">
            <v>0</v>
          </cell>
          <cell r="G182">
            <v>-0.08</v>
          </cell>
        </row>
        <row r="184">
          <cell r="B184">
            <v>0.12</v>
          </cell>
          <cell r="C184">
            <v>0.16</v>
          </cell>
          <cell r="D184">
            <v>0.06</v>
          </cell>
          <cell r="E184">
            <v>0.09</v>
          </cell>
          <cell r="F184">
            <v>7.0000000000000007E-2</v>
          </cell>
          <cell r="G184">
            <v>-0.06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107">
          <cell r="H107">
            <v>17179</v>
          </cell>
          <cell r="I107">
            <v>18353</v>
          </cell>
        </row>
        <row r="108">
          <cell r="H108">
            <v>11644</v>
          </cell>
          <cell r="I108">
            <v>12228</v>
          </cell>
        </row>
        <row r="109">
          <cell r="H109">
            <v>5028</v>
          </cell>
          <cell r="I109">
            <v>5492</v>
          </cell>
        </row>
        <row r="110">
          <cell r="H110">
            <v>507</v>
          </cell>
          <cell r="I110">
            <v>633</v>
          </cell>
        </row>
        <row r="134">
          <cell r="H134">
            <v>5089</v>
          </cell>
          <cell r="I134">
            <v>5114</v>
          </cell>
        </row>
        <row r="145">
          <cell r="H145">
            <v>617</v>
          </cell>
          <cell r="I145">
            <v>639</v>
          </cell>
        </row>
        <row r="156">
          <cell r="H156">
            <v>98</v>
          </cell>
          <cell r="I156">
            <v>146</v>
          </cell>
        </row>
        <row r="167">
          <cell r="H167">
            <v>130</v>
          </cell>
          <cell r="I167">
            <v>124</v>
          </cell>
        </row>
        <row r="180">
          <cell r="H180">
            <v>0.19</v>
          </cell>
          <cell r="I180">
            <v>0.05</v>
          </cell>
        </row>
        <row r="182">
          <cell r="H182">
            <v>0.19</v>
          </cell>
          <cell r="I182">
            <v>0.25</v>
          </cell>
        </row>
        <row r="184">
          <cell r="H184">
            <v>0.17</v>
          </cell>
          <cell r="I184">
            <v>0.09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199</v>
      </c>
    </row>
    <row r="4" spans="1:1" x14ac:dyDescent="0.3">
      <c r="A4" s="19" t="s">
        <v>200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zoomScale="99" zoomScaleNormal="99" workbookViewId="0">
      <pane ySplit="1" topLeftCell="A2" activePane="bottomLeft" state="frozen"/>
      <selection pane="bottomLeft" activeCell="A72" sqref="A72"/>
    </sheetView>
  </sheetViews>
  <sheetFormatPr defaultRowHeight="14.4" x14ac:dyDescent="0.3"/>
  <cols>
    <col min="1" max="1" width="114.8867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8">
        <v>30601</v>
      </c>
      <c r="C2" s="8">
        <v>32376</v>
      </c>
      <c r="D2" s="8">
        <v>34350</v>
      </c>
      <c r="E2" s="8">
        <v>36397</v>
      </c>
      <c r="F2" s="8">
        <v>39117</v>
      </c>
      <c r="G2" s="8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8">
        <v>16534</v>
      </c>
      <c r="C3" s="8">
        <v>17405</v>
      </c>
      <c r="D3" s="8">
        <v>19038</v>
      </c>
      <c r="E3" s="8">
        <v>20441</v>
      </c>
      <c r="F3" s="8">
        <v>21643</v>
      </c>
      <c r="G3" s="8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B4:H4" si="2">+H2-H3</f>
        <v>19962</v>
      </c>
      <c r="I4" s="9">
        <f>+I2-I3</f>
        <v>21479</v>
      </c>
    </row>
    <row r="5" spans="1:9" x14ac:dyDescent="0.3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8">
        <v>6679</v>
      </c>
      <c r="C6" s="8">
        <v>7191</v>
      </c>
      <c r="D6" s="8">
        <v>7222</v>
      </c>
      <c r="E6" s="8">
        <v>7934</v>
      </c>
      <c r="F6" s="8">
        <v>8949</v>
      </c>
      <c r="G6" s="8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B7:H7" si="4">+H5+H6</f>
        <v>13025</v>
      </c>
      <c r="I7" s="21">
        <f>+I5+I6</f>
        <v>14804</v>
      </c>
    </row>
    <row r="8" spans="1:9" x14ac:dyDescent="0.3">
      <c r="A8" s="2" t="s">
        <v>24</v>
      </c>
      <c r="B8">
        <v>28</v>
      </c>
      <c r="C8">
        <v>19</v>
      </c>
      <c r="D8">
        <v>59</v>
      </c>
      <c r="E8">
        <v>54</v>
      </c>
      <c r="F8">
        <v>49</v>
      </c>
      <c r="G8">
        <v>89</v>
      </c>
      <c r="H8" s="3">
        <v>262</v>
      </c>
      <c r="I8" s="3">
        <v>205</v>
      </c>
    </row>
    <row r="9" spans="1:9" x14ac:dyDescent="0.3">
      <c r="A9" s="2" t="s">
        <v>5</v>
      </c>
      <c r="B9">
        <v>-58</v>
      </c>
      <c r="C9">
        <v>-140</v>
      </c>
      <c r="D9">
        <v>-196</v>
      </c>
      <c r="E9">
        <v>66</v>
      </c>
      <c r="F9">
        <v>-78</v>
      </c>
      <c r="G9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v>6689</v>
      </c>
      <c r="C10" s="5">
        <v>7178</v>
      </c>
      <c r="D10" s="5">
        <v>7250</v>
      </c>
      <c r="E10" s="5">
        <v>7383</v>
      </c>
      <c r="F10" s="5">
        <v>8207</v>
      </c>
      <c r="G10" s="5">
        <v>6392</v>
      </c>
      <c r="H10" s="5">
        <f t="shared" ref="B10:H10" si="5">+H4-H7-H8-H9</f>
        <v>6661</v>
      </c>
      <c r="I10" s="5">
        <f>+I4-I7-I8-I9</f>
        <v>6651</v>
      </c>
    </row>
    <row r="11" spans="1:9" x14ac:dyDescent="0.3">
      <c r="A11" s="2" t="s">
        <v>26</v>
      </c>
      <c r="B11">
        <v>932</v>
      </c>
      <c r="C11">
        <v>863</v>
      </c>
      <c r="D11">
        <v>646</v>
      </c>
      <c r="E11" s="8">
        <v>2392</v>
      </c>
      <c r="F11">
        <v>772</v>
      </c>
      <c r="G11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G12" si="6">+B10-B11</f>
        <v>5757</v>
      </c>
      <c r="C12" s="7">
        <f>+C10-C11</f>
        <v>6315</v>
      </c>
      <c r="D12" s="7">
        <f t="shared" si="6"/>
        <v>6604</v>
      </c>
      <c r="E12" s="7">
        <f t="shared" si="6"/>
        <v>4991</v>
      </c>
      <c r="F12" s="7">
        <f t="shared" si="6"/>
        <v>7435</v>
      </c>
      <c r="G12" s="7">
        <f t="shared" si="6"/>
        <v>6044</v>
      </c>
      <c r="H12" s="7">
        <f t="shared" ref="B12:H12" si="7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C17" s="65">
        <v>1697.9</v>
      </c>
      <c r="D17" s="65">
        <v>1657.8</v>
      </c>
      <c r="E17" s="65">
        <v>1623.8</v>
      </c>
      <c r="F17" s="65">
        <v>1579.7</v>
      </c>
      <c r="G17" s="65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C18" s="65">
        <v>1742.5</v>
      </c>
      <c r="D18" s="65">
        <v>1692</v>
      </c>
      <c r="E18" s="65">
        <v>1659.1</v>
      </c>
      <c r="F18" s="65">
        <v>1618.4</v>
      </c>
      <c r="G18" s="65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ref="B20:H20" si="8">+ROUND(((H12/H18)-H15),2)</f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8">
        <v>3852</v>
      </c>
      <c r="C25" s="8">
        <v>3138</v>
      </c>
      <c r="D25" s="8">
        <v>3808</v>
      </c>
      <c r="E25" s="8">
        <v>4249</v>
      </c>
      <c r="F25" s="8">
        <v>4466</v>
      </c>
      <c r="G25" s="8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8">
        <v>2072</v>
      </c>
      <c r="C26" s="8">
        <v>2319</v>
      </c>
      <c r="D26" s="8">
        <v>2371</v>
      </c>
      <c r="E26">
        <v>996</v>
      </c>
      <c r="F26">
        <v>197</v>
      </c>
      <c r="G26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8">
        <v>3358</v>
      </c>
      <c r="C27" s="8">
        <v>3241</v>
      </c>
      <c r="D27" s="8">
        <v>3677</v>
      </c>
      <c r="E27" s="8">
        <v>3498</v>
      </c>
      <c r="F27" s="8">
        <v>4272</v>
      </c>
      <c r="G27" s="8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8">
        <v>4337</v>
      </c>
      <c r="C28" s="8">
        <v>4838</v>
      </c>
      <c r="D28" s="8">
        <v>5055</v>
      </c>
      <c r="E28" s="8">
        <v>5261</v>
      </c>
      <c r="F28" s="8">
        <v>5622</v>
      </c>
      <c r="G28" s="8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8">
        <v>1968</v>
      </c>
      <c r="C29" s="8">
        <v>1489</v>
      </c>
      <c r="D29" s="8">
        <v>1150</v>
      </c>
      <c r="E29" s="8">
        <v>1130</v>
      </c>
      <c r="F29" s="8">
        <v>1968</v>
      </c>
      <c r="G29" s="8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9">+SUM(B25:B29)</f>
        <v>15587</v>
      </c>
      <c r="C30" s="5">
        <f t="shared" si="9"/>
        <v>15025</v>
      </c>
      <c r="D30" s="5">
        <f t="shared" si="9"/>
        <v>16061</v>
      </c>
      <c r="E30" s="5">
        <f t="shared" si="9"/>
        <v>15134</v>
      </c>
      <c r="F30" s="5">
        <f t="shared" si="9"/>
        <v>16525</v>
      </c>
      <c r="G30" s="5">
        <f t="shared" si="9"/>
        <v>20556</v>
      </c>
      <c r="H30" s="5">
        <f t="shared" si="9"/>
        <v>26291</v>
      </c>
      <c r="I30" s="5">
        <f>+SUM(I25:I29)</f>
        <v>28213</v>
      </c>
    </row>
    <row r="31" spans="1:9" x14ac:dyDescent="0.3">
      <c r="A31" s="2" t="s">
        <v>37</v>
      </c>
      <c r="B31" s="8">
        <v>2996</v>
      </c>
      <c r="C31" s="8">
        <v>3451</v>
      </c>
      <c r="D31" s="8">
        <v>3975</v>
      </c>
      <c r="E31" s="8">
        <v>4454</v>
      </c>
      <c r="F31" s="8">
        <v>4744</v>
      </c>
      <c r="G31" s="8">
        <v>4866</v>
      </c>
      <c r="H31" s="3">
        <v>4904</v>
      </c>
      <c r="I31" s="3">
        <v>4791</v>
      </c>
    </row>
    <row r="32" spans="1:9" x14ac:dyDescent="0.3">
      <c r="A32" s="2" t="s">
        <v>38</v>
      </c>
      <c r="F32" t="s">
        <v>209</v>
      </c>
      <c r="G32" s="8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>
        <v>281</v>
      </c>
      <c r="C33">
        <v>281</v>
      </c>
      <c r="D33">
        <v>283</v>
      </c>
      <c r="E33">
        <v>285</v>
      </c>
      <c r="F33">
        <v>283</v>
      </c>
      <c r="G33">
        <v>274</v>
      </c>
      <c r="H33" s="3">
        <v>269</v>
      </c>
      <c r="I33" s="3">
        <v>286</v>
      </c>
    </row>
    <row r="34" spans="1:9" x14ac:dyDescent="0.3">
      <c r="A34" s="2" t="s">
        <v>40</v>
      </c>
      <c r="B34">
        <v>131</v>
      </c>
      <c r="C34">
        <v>131</v>
      </c>
      <c r="D34">
        <v>139</v>
      </c>
      <c r="E34">
        <v>154</v>
      </c>
      <c r="F34">
        <v>154</v>
      </c>
      <c r="G34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8">
        <v>2587</v>
      </c>
      <c r="C35" s="8">
        <v>2439</v>
      </c>
      <c r="D35" s="8">
        <v>2787</v>
      </c>
      <c r="E35" s="8">
        <v>2509</v>
      </c>
      <c r="F35" s="8">
        <v>2011</v>
      </c>
      <c r="G35" s="8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10">+SUM(B30:B35)</f>
        <v>21582</v>
      </c>
      <c r="C36" s="7">
        <f t="shared" si="10"/>
        <v>21327</v>
      </c>
      <c r="D36" s="7">
        <f t="shared" si="10"/>
        <v>23245</v>
      </c>
      <c r="E36" s="7">
        <f t="shared" si="10"/>
        <v>22536</v>
      </c>
      <c r="F36" s="7">
        <f t="shared" si="10"/>
        <v>23717</v>
      </c>
      <c r="G36" s="7">
        <f t="shared" si="10"/>
        <v>31342</v>
      </c>
      <c r="H36" s="7">
        <f t="shared" si="10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10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>
        <v>107</v>
      </c>
      <c r="C39">
        <v>44</v>
      </c>
      <c r="D39">
        <v>6</v>
      </c>
      <c r="E39">
        <v>6</v>
      </c>
      <c r="F39">
        <v>6</v>
      </c>
      <c r="G39">
        <v>3</v>
      </c>
      <c r="H39" s="3">
        <v>0</v>
      </c>
      <c r="I39" s="3">
        <v>500</v>
      </c>
    </row>
    <row r="40" spans="1:9" x14ac:dyDescent="0.3">
      <c r="A40" s="11" t="s">
        <v>46</v>
      </c>
      <c r="B40">
        <v>74</v>
      </c>
      <c r="C40">
        <v>1</v>
      </c>
      <c r="D40">
        <v>325</v>
      </c>
      <c r="E40">
        <v>336</v>
      </c>
      <c r="F40">
        <v>9</v>
      </c>
      <c r="G40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8">
        <v>2131</v>
      </c>
      <c r="C41" s="8">
        <v>2191</v>
      </c>
      <c r="D41" s="8">
        <v>2048</v>
      </c>
      <c r="E41" s="8">
        <v>2279</v>
      </c>
      <c r="F41" s="8">
        <v>2612</v>
      </c>
      <c r="G41" s="8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66"/>
      <c r="C42" s="66"/>
      <c r="D42" s="66"/>
      <c r="E42" s="66"/>
      <c r="F42">
        <v>0</v>
      </c>
      <c r="G42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8">
        <v>3949</v>
      </c>
      <c r="C43" s="8">
        <v>3037</v>
      </c>
      <c r="D43" s="8">
        <v>3011</v>
      </c>
      <c r="E43" s="8">
        <v>3269</v>
      </c>
      <c r="F43" s="8">
        <v>5010</v>
      </c>
      <c r="G43" s="8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>
        <v>71</v>
      </c>
      <c r="C44">
        <v>85</v>
      </c>
      <c r="D44">
        <v>84</v>
      </c>
      <c r="E44">
        <v>150</v>
      </c>
      <c r="F44">
        <v>229</v>
      </c>
      <c r="G44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11">+SUM(B39:B44)</f>
        <v>6332</v>
      </c>
      <c r="C45" s="5">
        <f t="shared" si="11"/>
        <v>5358</v>
      </c>
      <c r="D45" s="5">
        <f t="shared" si="11"/>
        <v>5474</v>
      </c>
      <c r="E45" s="5">
        <f t="shared" si="11"/>
        <v>6040</v>
      </c>
      <c r="F45" s="5">
        <f t="shared" si="11"/>
        <v>7866</v>
      </c>
      <c r="G45" s="5">
        <f t="shared" si="11"/>
        <v>8284</v>
      </c>
      <c r="H45" s="5">
        <f t="shared" si="11"/>
        <v>9674</v>
      </c>
      <c r="I45" s="5">
        <f>+SUM(I39:I44)</f>
        <v>10730</v>
      </c>
    </row>
    <row r="46" spans="1:9" x14ac:dyDescent="0.3">
      <c r="A46" s="2" t="s">
        <v>49</v>
      </c>
      <c r="B46" s="8">
        <v>1079</v>
      </c>
      <c r="C46" s="8">
        <v>2010</v>
      </c>
      <c r="D46">
        <v>0</v>
      </c>
      <c r="E46">
        <v>0</v>
      </c>
      <c r="F46" s="8">
        <v>3464</v>
      </c>
      <c r="G46" s="8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t="s">
        <v>209</v>
      </c>
      <c r="C47" t="s">
        <v>209</v>
      </c>
      <c r="D47" s="8">
        <v>3471</v>
      </c>
      <c r="E47" s="8">
        <v>3468</v>
      </c>
      <c r="F47" t="s">
        <v>209</v>
      </c>
      <c r="G47" s="8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8">
        <v>1479</v>
      </c>
      <c r="C48" s="8">
        <v>1770</v>
      </c>
      <c r="D48" s="8">
        <v>1907</v>
      </c>
      <c r="E48" s="8">
        <v>3216</v>
      </c>
      <c r="F48" s="8">
        <v>0</v>
      </c>
      <c r="G48" s="8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10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70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>
        <v>3</v>
      </c>
      <c r="C54">
        <v>3</v>
      </c>
      <c r="D54">
        <v>3</v>
      </c>
      <c r="E54">
        <v>3</v>
      </c>
      <c r="F54">
        <v>3</v>
      </c>
      <c r="G54">
        <v>3</v>
      </c>
      <c r="H54" s="3">
        <v>3</v>
      </c>
      <c r="I54" s="3">
        <v>3</v>
      </c>
    </row>
    <row r="55" spans="1:9" x14ac:dyDescent="0.3">
      <c r="A55" s="17" t="s">
        <v>58</v>
      </c>
      <c r="B55" s="8">
        <v>6773</v>
      </c>
      <c r="C55" s="8">
        <v>7786</v>
      </c>
      <c r="D55" s="8">
        <v>5710</v>
      </c>
      <c r="E55" s="8">
        <v>6384</v>
      </c>
      <c r="F55" s="8">
        <v>7163</v>
      </c>
      <c r="G55" s="8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8">
        <v>1246</v>
      </c>
      <c r="C56">
        <v>318</v>
      </c>
      <c r="D56">
        <v>-213</v>
      </c>
      <c r="E56">
        <v>-92</v>
      </c>
      <c r="F56">
        <v>231</v>
      </c>
      <c r="G56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8">
        <v>4685</v>
      </c>
      <c r="C57" s="8">
        <v>4151</v>
      </c>
      <c r="D57" s="8">
        <v>6907</v>
      </c>
      <c r="E57" s="8">
        <v>3517</v>
      </c>
      <c r="F57" s="8">
        <v>1643</v>
      </c>
      <c r="G57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G58" si="12">+SUM(B53:B57)</f>
        <v>12707</v>
      </c>
      <c r="C58" s="5">
        <f t="shared" si="12"/>
        <v>12258</v>
      </c>
      <c r="D58" s="5">
        <f t="shared" si="12"/>
        <v>12407</v>
      </c>
      <c r="E58" s="5">
        <f t="shared" si="12"/>
        <v>9812</v>
      </c>
      <c r="F58" s="5">
        <f t="shared" si="12"/>
        <v>9040</v>
      </c>
      <c r="G58" s="5">
        <f t="shared" si="12"/>
        <v>8055</v>
      </c>
      <c r="H58" s="5">
        <f t="shared" ref="B58:H58" si="13">+SUM(H53:H57)</f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v>21582</v>
      </c>
      <c r="C59" s="7">
        <v>21327</v>
      </c>
      <c r="D59" s="7">
        <v>23245</v>
      </c>
      <c r="E59" s="7">
        <f t="shared" ref="B59:G59" si="14">+SUM(E45:E50)+E58</f>
        <v>22536</v>
      </c>
      <c r="F59" s="7">
        <v>23717</v>
      </c>
      <c r="G59" s="7">
        <f t="shared" si="14"/>
        <v>31342</v>
      </c>
      <c r="H59" s="7">
        <f t="shared" ref="B59:H59" si="15">+SUM(H45:H50)+H58</f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6">+B59-B36</f>
        <v>0</v>
      </c>
      <c r="C60" s="13">
        <f>+C59-C36</f>
        <v>0</v>
      </c>
      <c r="D60" s="13">
        <f t="shared" si="16"/>
        <v>0</v>
      </c>
      <c r="E60" s="13">
        <f t="shared" si="16"/>
        <v>0</v>
      </c>
      <c r="F60" s="13">
        <f t="shared" si="16"/>
        <v>0</v>
      </c>
      <c r="G60" s="13">
        <f t="shared" si="16"/>
        <v>0</v>
      </c>
      <c r="H60" s="13">
        <f t="shared" si="16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67"/>
      <c r="C64" s="68">
        <v>3760</v>
      </c>
      <c r="D64" s="68">
        <v>4240</v>
      </c>
      <c r="E64" s="68">
        <v>1933</v>
      </c>
      <c r="F64" s="68">
        <v>4029</v>
      </c>
      <c r="G64" s="68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10" t="s">
        <v>65</v>
      </c>
      <c r="B65" s="66"/>
      <c r="C65" s="66"/>
      <c r="D65" s="66"/>
      <c r="E65" s="66"/>
      <c r="F65" s="66"/>
      <c r="G65" s="66"/>
      <c r="H65" s="3"/>
      <c r="I65" s="3"/>
    </row>
    <row r="66" spans="1:9" x14ac:dyDescent="0.3">
      <c r="A66" s="11" t="s">
        <v>66</v>
      </c>
      <c r="B66">
        <v>572</v>
      </c>
      <c r="C66">
        <v>632</v>
      </c>
      <c r="D66">
        <v>675</v>
      </c>
      <c r="E66">
        <v>747</v>
      </c>
      <c r="F66">
        <v>705</v>
      </c>
      <c r="G66">
        <v>721</v>
      </c>
      <c r="H66" s="3">
        <v>744</v>
      </c>
      <c r="I66" s="3">
        <v>717</v>
      </c>
    </row>
    <row r="67" spans="1:9" x14ac:dyDescent="0.3">
      <c r="A67" s="11" t="s">
        <v>67</v>
      </c>
      <c r="B67">
        <v>-113</v>
      </c>
      <c r="C67">
        <v>-80</v>
      </c>
      <c r="D67">
        <v>-273</v>
      </c>
      <c r="E67">
        <v>647</v>
      </c>
      <c r="F67">
        <v>34</v>
      </c>
      <c r="G67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>
        <v>191</v>
      </c>
      <c r="C68">
        <v>236</v>
      </c>
      <c r="D68">
        <v>215</v>
      </c>
      <c r="E68">
        <v>218</v>
      </c>
      <c r="F68">
        <v>325</v>
      </c>
      <c r="G68">
        <v>429</v>
      </c>
      <c r="H68" s="3">
        <v>611</v>
      </c>
      <c r="I68" s="3">
        <v>638</v>
      </c>
    </row>
    <row r="69" spans="1:9" x14ac:dyDescent="0.3">
      <c r="A69" s="11" t="s">
        <v>69</v>
      </c>
      <c r="B69">
        <v>43</v>
      </c>
      <c r="C69">
        <v>13</v>
      </c>
      <c r="D69">
        <v>10</v>
      </c>
      <c r="E69">
        <v>27</v>
      </c>
      <c r="F69">
        <v>15</v>
      </c>
      <c r="G69">
        <v>398</v>
      </c>
      <c r="H69" s="3">
        <v>53</v>
      </c>
      <c r="I69" s="3">
        <v>123</v>
      </c>
    </row>
    <row r="70" spans="1:9" x14ac:dyDescent="0.3">
      <c r="A70" s="11" t="s">
        <v>70</v>
      </c>
      <c r="B70">
        <v>424</v>
      </c>
      <c r="C70">
        <v>98</v>
      </c>
      <c r="D70">
        <v>-117</v>
      </c>
      <c r="E70">
        <v>-99</v>
      </c>
      <c r="F70">
        <v>233</v>
      </c>
      <c r="G70">
        <v>23</v>
      </c>
      <c r="H70" s="3">
        <v>-138</v>
      </c>
      <c r="I70" s="3">
        <v>-26</v>
      </c>
    </row>
    <row r="71" spans="1:9" x14ac:dyDescent="0.3">
      <c r="A71" s="10" t="s">
        <v>71</v>
      </c>
      <c r="B71" s="66"/>
      <c r="C71" s="66"/>
      <c r="D71" s="66"/>
      <c r="E71" s="66"/>
      <c r="F71" s="66"/>
      <c r="G71" s="66"/>
      <c r="H71" s="3"/>
      <c r="I71" s="3"/>
    </row>
    <row r="72" spans="1:9" x14ac:dyDescent="0.3">
      <c r="A72" s="11" t="s">
        <v>72</v>
      </c>
      <c r="B72">
        <v>-216</v>
      </c>
      <c r="C72">
        <v>60</v>
      </c>
      <c r="D72">
        <v>-426</v>
      </c>
      <c r="E72">
        <v>187</v>
      </c>
      <c r="F72">
        <v>-270</v>
      </c>
      <c r="G72" s="8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>
        <v>-621</v>
      </c>
      <c r="C73">
        <v>-590</v>
      </c>
      <c r="D73">
        <v>-231</v>
      </c>
      <c r="E73">
        <v>-255</v>
      </c>
      <c r="F73">
        <v>-490</v>
      </c>
      <c r="G73" s="8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>
        <v>-144</v>
      </c>
      <c r="C74">
        <v>-161</v>
      </c>
      <c r="D74">
        <v>-120</v>
      </c>
      <c r="E74">
        <v>35</v>
      </c>
      <c r="F74">
        <v>-203</v>
      </c>
      <c r="G74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8">
        <v>1237</v>
      </c>
      <c r="C75">
        <v>-586</v>
      </c>
      <c r="D75">
        <v>-158</v>
      </c>
      <c r="E75" s="8">
        <v>1515</v>
      </c>
      <c r="F75" s="8">
        <v>1525</v>
      </c>
      <c r="G75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G76" si="17">+SUM(B64:B75)</f>
        <v>1373</v>
      </c>
      <c r="C76" s="26">
        <f t="shared" si="17"/>
        <v>3382</v>
      </c>
      <c r="D76" s="26">
        <f t="shared" si="17"/>
        <v>3815</v>
      </c>
      <c r="E76" s="26">
        <f t="shared" si="17"/>
        <v>4955</v>
      </c>
      <c r="F76" s="26">
        <f t="shared" si="17"/>
        <v>5903</v>
      </c>
      <c r="G76" s="26">
        <f t="shared" si="17"/>
        <v>2485</v>
      </c>
      <c r="H76" s="26">
        <f t="shared" ref="B76:H76" si="18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8">
        <v>-4936</v>
      </c>
      <c r="C78" s="8">
        <v>-5367</v>
      </c>
      <c r="D78" s="8">
        <v>-5928</v>
      </c>
      <c r="E78" s="8">
        <v>-4783</v>
      </c>
      <c r="F78" s="8">
        <v>-2937</v>
      </c>
      <c r="G78" s="8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8">
        <v>3655</v>
      </c>
      <c r="C79" s="8">
        <v>2924</v>
      </c>
      <c r="D79" s="8">
        <v>3623</v>
      </c>
      <c r="E79" s="8">
        <v>3613</v>
      </c>
      <c r="F79" s="8">
        <v>1715</v>
      </c>
      <c r="G79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8">
        <v>2216</v>
      </c>
      <c r="C80" s="8">
        <v>2386</v>
      </c>
      <c r="D80" s="8">
        <v>2423</v>
      </c>
      <c r="E80" s="8">
        <v>2496</v>
      </c>
      <c r="F80" s="8">
        <v>2072</v>
      </c>
      <c r="G80" s="8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>
        <v>-963</v>
      </c>
      <c r="C81" s="8">
        <v>-1143</v>
      </c>
      <c r="D81" s="8">
        <v>-1105</v>
      </c>
      <c r="E81" s="8">
        <v>-1028</v>
      </c>
      <c r="F81" s="8">
        <v>-1119</v>
      </c>
      <c r="G81" s="8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>
        <v>0</v>
      </c>
      <c r="C82">
        <v>6</v>
      </c>
      <c r="D82">
        <v>-34</v>
      </c>
      <c r="E82">
        <v>-22</v>
      </c>
      <c r="F82">
        <v>5</v>
      </c>
      <c r="G82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G83" si="19">+SUM(B78:B82)</f>
        <v>-28</v>
      </c>
      <c r="C83" s="26">
        <f t="shared" si="19"/>
        <v>-1194</v>
      </c>
      <c r="D83" s="26">
        <f t="shared" si="19"/>
        <v>-1021</v>
      </c>
      <c r="E83" s="26">
        <f t="shared" si="19"/>
        <v>276</v>
      </c>
      <c r="F83" s="26">
        <f t="shared" si="19"/>
        <v>-264</v>
      </c>
      <c r="G83" s="26">
        <f t="shared" si="19"/>
        <v>-1028</v>
      </c>
      <c r="H83" s="26">
        <f t="shared" ref="B83:H83" si="20">+SUM(H78:H82)</f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>
        <v>0</v>
      </c>
      <c r="C85">
        <v>981</v>
      </c>
      <c r="D85" s="8">
        <v>1482</v>
      </c>
      <c r="E85">
        <v>0</v>
      </c>
      <c r="F85">
        <v>0</v>
      </c>
      <c r="G85">
        <v>0</v>
      </c>
      <c r="H85" s="3">
        <v>0</v>
      </c>
      <c r="I85" s="3">
        <v>0</v>
      </c>
    </row>
    <row r="86" spans="1:9" x14ac:dyDescent="0.3">
      <c r="A86" s="2" t="s">
        <v>83</v>
      </c>
      <c r="B86">
        <v>-63</v>
      </c>
      <c r="C86">
        <v>-67</v>
      </c>
      <c r="D86">
        <v>327</v>
      </c>
      <c r="E86">
        <v>13</v>
      </c>
      <c r="F86" t="s">
        <v>209</v>
      </c>
      <c r="G86" s="8">
        <v>6134</v>
      </c>
      <c r="H86" s="3">
        <v>-52</v>
      </c>
      <c r="I86" s="3">
        <v>15</v>
      </c>
    </row>
    <row r="87" spans="1:9" x14ac:dyDescent="0.3">
      <c r="A87" s="2" t="s">
        <v>84</v>
      </c>
      <c r="B87">
        <v>-19</v>
      </c>
      <c r="C87" t="s">
        <v>209</v>
      </c>
      <c r="D87" t="s">
        <v>209</v>
      </c>
      <c r="E87">
        <v>13</v>
      </c>
      <c r="F87">
        <v>-325</v>
      </c>
      <c r="G87">
        <v>49</v>
      </c>
      <c r="H87" s="3">
        <v>-197</v>
      </c>
      <c r="I87" s="3">
        <v>0</v>
      </c>
    </row>
    <row r="88" spans="1:9" x14ac:dyDescent="0.3">
      <c r="A88" s="2" t="s">
        <v>85</v>
      </c>
      <c r="B88">
        <v>514</v>
      </c>
      <c r="C88">
        <v>507</v>
      </c>
      <c r="D88">
        <v>0</v>
      </c>
      <c r="E88">
        <v>733</v>
      </c>
      <c r="F88">
        <v>700</v>
      </c>
      <c r="G88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8">
        <v>-2534</v>
      </c>
      <c r="C89" s="8">
        <v>-3238</v>
      </c>
      <c r="D89" s="8">
        <v>-3223</v>
      </c>
      <c r="E89" s="8">
        <v>-4254</v>
      </c>
      <c r="F89" s="8">
        <v>-4286</v>
      </c>
      <c r="G89" s="8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>
        <v>-899</v>
      </c>
      <c r="C90" s="8">
        <v>-1022</v>
      </c>
      <c r="D90" s="8">
        <v>-1133</v>
      </c>
      <c r="E90" s="8">
        <v>-1243</v>
      </c>
      <c r="F90" s="8">
        <v>-1332</v>
      </c>
      <c r="G90" s="8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66"/>
      <c r="C91" s="66"/>
      <c r="D91" s="66"/>
      <c r="E91">
        <v>-84</v>
      </c>
      <c r="F91">
        <v>-50</v>
      </c>
      <c r="G91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G92" si="21">+SUM(B85:B91)</f>
        <v>-3001</v>
      </c>
      <c r="C92" s="26">
        <f t="shared" si="21"/>
        <v>-2839</v>
      </c>
      <c r="D92" s="26">
        <f t="shared" si="21"/>
        <v>-2547</v>
      </c>
      <c r="E92" s="26">
        <f t="shared" si="21"/>
        <v>-4822</v>
      </c>
      <c r="F92" s="26">
        <f t="shared" si="21"/>
        <v>-5293</v>
      </c>
      <c r="G92" s="26">
        <f t="shared" si="21"/>
        <v>2491</v>
      </c>
      <c r="H92" s="26">
        <f t="shared" ref="B92:H92" si="22">+SUM(H85:H91)</f>
        <v>-1459</v>
      </c>
      <c r="I92" s="26">
        <f>+SUM(I85:I91)</f>
        <v>-4836</v>
      </c>
    </row>
    <row r="93" spans="1:9" x14ac:dyDescent="0.3">
      <c r="A93" s="2" t="s">
        <v>89</v>
      </c>
      <c r="B93">
        <v>-83</v>
      </c>
      <c r="C93">
        <v>-105</v>
      </c>
      <c r="D93">
        <v>-20</v>
      </c>
      <c r="E93">
        <v>45</v>
      </c>
      <c r="F93">
        <v>-129</v>
      </c>
      <c r="G9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G94" si="23">+B76+B83+B92+B93</f>
        <v>-1739</v>
      </c>
      <c r="C94" s="26">
        <f t="shared" si="23"/>
        <v>-756</v>
      </c>
      <c r="D94" s="26">
        <f t="shared" si="23"/>
        <v>227</v>
      </c>
      <c r="E94" s="26">
        <f t="shared" si="23"/>
        <v>454</v>
      </c>
      <c r="F94" s="26">
        <f t="shared" si="23"/>
        <v>217</v>
      </c>
      <c r="G94" s="26">
        <f t="shared" si="23"/>
        <v>3882</v>
      </c>
      <c r="H94" s="26">
        <f t="shared" ref="B94:H94" si="24">+H76+H83+H92+H93</f>
        <v>1541</v>
      </c>
      <c r="I94" s="26">
        <f>+I76+I83+I92+I93</f>
        <v>-1315</v>
      </c>
    </row>
    <row r="95" spans="1:9" x14ac:dyDescent="0.3">
      <c r="A95" t="s">
        <v>91</v>
      </c>
      <c r="B95" s="8">
        <v>2220</v>
      </c>
      <c r="C95" s="8">
        <v>3852</v>
      </c>
      <c r="D95" s="8">
        <v>3138</v>
      </c>
      <c r="E95" s="8">
        <v>3808</v>
      </c>
      <c r="F95" s="8">
        <v>4249</v>
      </c>
      <c r="G95" s="8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69">
        <v>3852</v>
      </c>
      <c r="C96" s="69">
        <v>3138</v>
      </c>
      <c r="D96" s="69">
        <v>3808</v>
      </c>
      <c r="E96" s="69">
        <v>4249</v>
      </c>
      <c r="F96" s="69">
        <v>4466</v>
      </c>
      <c r="G96" s="69"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G97" si="25">+B96-B25</f>
        <v>0</v>
      </c>
      <c r="C97" s="13">
        <f t="shared" si="25"/>
        <v>0</v>
      </c>
      <c r="D97" s="13">
        <f t="shared" si="25"/>
        <v>0</v>
      </c>
      <c r="E97" s="13">
        <f t="shared" si="25"/>
        <v>0</v>
      </c>
      <c r="F97" s="13">
        <f t="shared" si="25"/>
        <v>0</v>
      </c>
      <c r="G97" s="13">
        <f t="shared" si="25"/>
        <v>0</v>
      </c>
      <c r="H97" s="13">
        <f t="shared" ref="B97:H97" si="26">+H96-H25</f>
        <v>0</v>
      </c>
      <c r="I97" s="13">
        <f>+I96-I25</f>
        <v>0</v>
      </c>
    </row>
    <row r="98" spans="1:9" x14ac:dyDescent="0.3">
      <c r="A98" s="1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10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>
        <v>53</v>
      </c>
      <c r="C100">
        <v>70</v>
      </c>
      <c r="D100">
        <v>98</v>
      </c>
      <c r="E100">
        <v>125</v>
      </c>
      <c r="F100">
        <v>153</v>
      </c>
      <c r="G100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8">
        <v>1262</v>
      </c>
      <c r="C101">
        <v>748</v>
      </c>
      <c r="D101">
        <v>703</v>
      </c>
      <c r="E101">
        <v>529</v>
      </c>
      <c r="F101">
        <v>757</v>
      </c>
      <c r="G101" s="8">
        <v>1028</v>
      </c>
      <c r="H101" s="3">
        <v>1177</v>
      </c>
      <c r="I101" s="3">
        <v>1231</v>
      </c>
    </row>
    <row r="102" spans="1:9" x14ac:dyDescent="0.3">
      <c r="A102" s="2" t="s">
        <v>95</v>
      </c>
      <c r="B102">
        <v>206</v>
      </c>
      <c r="C102">
        <v>252</v>
      </c>
      <c r="D102">
        <v>266</v>
      </c>
      <c r="E102">
        <v>294</v>
      </c>
      <c r="F102">
        <v>160</v>
      </c>
      <c r="G102">
        <v>121</v>
      </c>
      <c r="H102" s="3">
        <v>179</v>
      </c>
      <c r="I102" s="3">
        <v>160</v>
      </c>
    </row>
    <row r="103" spans="1:9" x14ac:dyDescent="0.3">
      <c r="A103" s="2" t="s">
        <v>96</v>
      </c>
      <c r="B103">
        <v>240</v>
      </c>
      <c r="C103">
        <v>271</v>
      </c>
      <c r="D103">
        <v>300</v>
      </c>
      <c r="E103">
        <v>320</v>
      </c>
      <c r="F103">
        <v>347</v>
      </c>
      <c r="G10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B107:H107" si="27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v>7126</v>
      </c>
      <c r="C111" s="3">
        <v>7568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B111:I111" si="28">+SUM(H112:H114)</f>
        <v>11456</v>
      </c>
      <c r="I111" s="3">
        <f t="shared" si="28"/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B115:I115" si="29">+SUM(H116:H118)</f>
        <v>8290</v>
      </c>
      <c r="I115" s="3">
        <f t="shared" si="29"/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v>4653</v>
      </c>
      <c r="C119" s="3">
        <v>4317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B119:I119" si="30">+SUM(H120:H122)</f>
        <v>5343</v>
      </c>
      <c r="I119" s="3">
        <f t="shared" si="30"/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1250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310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G124" si="31">+B107+B111+B115+B119+B123</f>
        <v>28701</v>
      </c>
      <c r="C124" s="5">
        <f t="shared" si="31"/>
        <v>30507</v>
      </c>
      <c r="D124" s="5">
        <f t="shared" si="31"/>
        <v>32233</v>
      </c>
      <c r="E124" s="5">
        <f t="shared" si="31"/>
        <v>34485</v>
      </c>
      <c r="F124" s="5">
        <f t="shared" si="31"/>
        <v>37218</v>
      </c>
      <c r="G124" s="5">
        <f t="shared" si="31"/>
        <v>35568</v>
      </c>
      <c r="H124" s="5">
        <f t="shared" ref="B124:I124" si="32">+H107+H111+H115+H119+H123</f>
        <v>42293</v>
      </c>
      <c r="I124" s="5">
        <f t="shared" si="32"/>
        <v>44436</v>
      </c>
    </row>
    <row r="125" spans="1:9" x14ac:dyDescent="0.3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>
        <v>18318</v>
      </c>
      <c r="C126" s="3">
        <v>19871</v>
      </c>
      <c r="D126" s="3">
        <v>21081</v>
      </c>
      <c r="E126" s="3">
        <v>22268</v>
      </c>
      <c r="F126" s="3">
        <v>24222</v>
      </c>
      <c r="G126" s="3">
        <v>23305</v>
      </c>
      <c r="H126" s="3">
        <v>1986</v>
      </c>
      <c r="I126" s="3">
        <v>2094</v>
      </c>
    </row>
    <row r="127" spans="1:9" x14ac:dyDescent="0.3">
      <c r="A127" s="11" t="s">
        <v>114</v>
      </c>
      <c r="B127" s="3">
        <v>8636</v>
      </c>
      <c r="C127" s="3">
        <v>9067</v>
      </c>
      <c r="D127" s="3">
        <v>9654</v>
      </c>
      <c r="E127" s="3">
        <v>10733</v>
      </c>
      <c r="F127" s="3">
        <v>11550</v>
      </c>
      <c r="G127" s="3">
        <v>10953</v>
      </c>
      <c r="H127" s="3">
        <v>104</v>
      </c>
      <c r="I127" s="3">
        <v>103</v>
      </c>
    </row>
    <row r="128" spans="1:9" x14ac:dyDescent="0.3">
      <c r="A128" s="11" t="s">
        <v>115</v>
      </c>
      <c r="B128" s="3">
        <v>1632</v>
      </c>
      <c r="C128" s="3">
        <v>1496</v>
      </c>
      <c r="D128" s="3">
        <v>1425</v>
      </c>
      <c r="E128" s="3">
        <v>1396</v>
      </c>
      <c r="F128" s="3">
        <v>1404</v>
      </c>
      <c r="G128" s="3">
        <v>1280</v>
      </c>
      <c r="H128" s="3">
        <v>29</v>
      </c>
      <c r="I128" s="3">
        <v>26</v>
      </c>
    </row>
    <row r="129" spans="1:9" x14ac:dyDescent="0.3">
      <c r="A129" s="11" t="s">
        <v>121</v>
      </c>
      <c r="B129" s="3">
        <v>115</v>
      </c>
      <c r="C129" s="3">
        <v>73</v>
      </c>
      <c r="D129" s="3">
        <v>73</v>
      </c>
      <c r="E129" s="3">
        <v>88</v>
      </c>
      <c r="F129" s="3">
        <v>42</v>
      </c>
      <c r="G129" s="3">
        <v>30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G131" si="33">+B124+B125+B130</f>
        <v>30601</v>
      </c>
      <c r="C131" s="7">
        <f t="shared" si="33"/>
        <v>32376</v>
      </c>
      <c r="D131" s="7">
        <f t="shared" si="33"/>
        <v>34350</v>
      </c>
      <c r="E131" s="7">
        <f t="shared" si="33"/>
        <v>36397</v>
      </c>
      <c r="F131" s="7">
        <f t="shared" si="33"/>
        <v>39117</v>
      </c>
      <c r="G131" s="7">
        <f t="shared" si="33"/>
        <v>37403</v>
      </c>
      <c r="H131" s="7">
        <f t="shared" ref="B131:H131" si="34">+H124+H125+H130</f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35">+C131-C2</f>
        <v>0</v>
      </c>
      <c r="D132" s="13">
        <f t="shared" si="35"/>
        <v>0</v>
      </c>
      <c r="E132" s="13">
        <f t="shared" si="35"/>
        <v>0</v>
      </c>
      <c r="F132" s="13">
        <f t="shared" si="35"/>
        <v>0</v>
      </c>
      <c r="G132" s="13">
        <f t="shared" si="35"/>
        <v>0</v>
      </c>
      <c r="H132" s="13">
        <f t="shared" ref="C132:H132" si="36"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8">
        <v>3645</v>
      </c>
      <c r="C134" s="8">
        <v>3763</v>
      </c>
      <c r="D134" s="8">
        <v>3875</v>
      </c>
      <c r="E134" s="8">
        <v>3600</v>
      </c>
      <c r="F134" s="8">
        <v>3925</v>
      </c>
      <c r="G134" s="8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8">
        <v>1524</v>
      </c>
      <c r="C135" s="8">
        <v>1787</v>
      </c>
      <c r="D135" s="8">
        <v>1507</v>
      </c>
      <c r="E135" s="8">
        <v>1587</v>
      </c>
      <c r="F135" s="8">
        <v>1995</v>
      </c>
      <c r="G135" s="8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>
        <v>993</v>
      </c>
      <c r="C136" s="8">
        <v>1372</v>
      </c>
      <c r="D136" s="8">
        <v>1507</v>
      </c>
      <c r="E136" s="8">
        <v>1807</v>
      </c>
      <c r="F136" s="8">
        <v>2376</v>
      </c>
      <c r="G136" s="8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66">
        <v>918</v>
      </c>
      <c r="C137" s="8">
        <v>1002</v>
      </c>
      <c r="D137">
        <v>980</v>
      </c>
      <c r="E137" s="8">
        <v>1189</v>
      </c>
      <c r="F137" s="8">
        <v>1323</v>
      </c>
      <c r="G137" s="8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66">
        <v>-2263</v>
      </c>
      <c r="C138">
        <v>-2596</v>
      </c>
      <c r="D138">
        <v>-2677</v>
      </c>
      <c r="E138">
        <v>-2658</v>
      </c>
      <c r="F138">
        <v>-3262</v>
      </c>
      <c r="G138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G139" si="37">+SUM(B134:B138)</f>
        <v>4817</v>
      </c>
      <c r="C139" s="5">
        <f t="shared" si="37"/>
        <v>5328</v>
      </c>
      <c r="D139" s="5">
        <f t="shared" si="37"/>
        <v>5192</v>
      </c>
      <c r="E139" s="5">
        <f t="shared" si="37"/>
        <v>5525</v>
      </c>
      <c r="F139" s="5">
        <f t="shared" si="37"/>
        <v>6357</v>
      </c>
      <c r="G139" s="5">
        <f t="shared" si="37"/>
        <v>4646</v>
      </c>
      <c r="H139" s="5">
        <f t="shared" ref="B139:I139" si="38">+SUM(H134:H138)</f>
        <v>8641</v>
      </c>
      <c r="I139" s="5">
        <f t="shared" si="38"/>
        <v>8406</v>
      </c>
    </row>
    <row r="140" spans="1:9" x14ac:dyDescent="0.3">
      <c r="A140" s="2" t="s">
        <v>104</v>
      </c>
      <c r="B140" s="8">
        <v>1982</v>
      </c>
      <c r="C140" s="8">
        <v>1955</v>
      </c>
      <c r="D140" s="8">
        <v>2042</v>
      </c>
      <c r="E140" s="8">
        <v>1886</v>
      </c>
      <c r="F140" s="8">
        <v>1906</v>
      </c>
      <c r="G140" s="8">
        <v>1846</v>
      </c>
      <c r="H140" s="3">
        <v>543</v>
      </c>
      <c r="I140" s="3">
        <v>669</v>
      </c>
    </row>
    <row r="141" spans="1:9" x14ac:dyDescent="0.3">
      <c r="A141" s="2" t="s">
        <v>108</v>
      </c>
      <c r="B141">
        <v>-82</v>
      </c>
      <c r="C141">
        <v>-86</v>
      </c>
      <c r="D141">
        <v>75</v>
      </c>
      <c r="E141">
        <v>26</v>
      </c>
      <c r="F141">
        <v>-7</v>
      </c>
      <c r="G141">
        <v>-11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:G142" si="39">+SUM(B139:B141)</f>
        <v>6717</v>
      </c>
      <c r="C142" s="7">
        <f t="shared" si="39"/>
        <v>7197</v>
      </c>
      <c r="D142" s="7">
        <f t="shared" si="39"/>
        <v>7309</v>
      </c>
      <c r="E142" s="7">
        <f t="shared" si="39"/>
        <v>7437</v>
      </c>
      <c r="F142" s="7">
        <f t="shared" si="39"/>
        <v>8256</v>
      </c>
      <c r="G142" s="7">
        <f t="shared" si="39"/>
        <v>6481</v>
      </c>
      <c r="H142" s="7">
        <f t="shared" ref="B142:I142" si="40">+SUM(H139:H141)</f>
        <v>6923</v>
      </c>
      <c r="I142" s="7">
        <f t="shared" si="40"/>
        <v>6856</v>
      </c>
    </row>
    <row r="143" spans="1:9" s="12" customFormat="1" ht="15" thickTop="1" x14ac:dyDescent="0.3">
      <c r="A143" s="12" t="s">
        <v>111</v>
      </c>
      <c r="B143" s="13">
        <f t="shared" ref="B143:G143" si="41">+B142-B10-B8</f>
        <v>0</v>
      </c>
      <c r="C143" s="13">
        <f t="shared" si="41"/>
        <v>0</v>
      </c>
      <c r="D143" s="13">
        <f t="shared" si="41"/>
        <v>0</v>
      </c>
      <c r="E143" s="13">
        <f t="shared" si="41"/>
        <v>0</v>
      </c>
      <c r="F143" s="13">
        <f t="shared" si="41"/>
        <v>0</v>
      </c>
      <c r="G143" s="13">
        <f t="shared" si="41"/>
        <v>0</v>
      </c>
      <c r="H143" s="13">
        <f t="shared" ref="B143:H143" si="42">+H142-H10-H8</f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>
        <v>632</v>
      </c>
      <c r="C145">
        <v>742</v>
      </c>
      <c r="D145">
        <v>819</v>
      </c>
      <c r="E145">
        <v>848</v>
      </c>
      <c r="F145">
        <v>814</v>
      </c>
      <c r="G145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>
        <v>451</v>
      </c>
      <c r="C146">
        <v>589</v>
      </c>
      <c r="D146">
        <v>709</v>
      </c>
      <c r="E146">
        <v>849</v>
      </c>
      <c r="F146">
        <v>929</v>
      </c>
      <c r="G146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>
        <v>254</v>
      </c>
      <c r="C147">
        <v>234</v>
      </c>
      <c r="D147">
        <v>225</v>
      </c>
      <c r="E147">
        <v>256</v>
      </c>
      <c r="F147">
        <v>237</v>
      </c>
      <c r="G147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>
        <v>340</v>
      </c>
      <c r="C148">
        <v>340</v>
      </c>
      <c r="D148">
        <v>326</v>
      </c>
      <c r="E148">
        <v>339</v>
      </c>
      <c r="F148">
        <v>326</v>
      </c>
      <c r="G148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>
        <v>484</v>
      </c>
      <c r="C149">
        <v>484</v>
      </c>
      <c r="D149">
        <v>533</v>
      </c>
      <c r="E149">
        <v>597</v>
      </c>
      <c r="F149">
        <v>665</v>
      </c>
      <c r="G149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G150" si="43">+SUM(B145:B149)</f>
        <v>2161</v>
      </c>
      <c r="C150" s="5">
        <f t="shared" si="43"/>
        <v>2389</v>
      </c>
      <c r="D150" s="5">
        <f t="shared" si="43"/>
        <v>2612</v>
      </c>
      <c r="E150" s="5">
        <f t="shared" si="43"/>
        <v>2889</v>
      </c>
      <c r="F150" s="5">
        <f t="shared" si="43"/>
        <v>2971</v>
      </c>
      <c r="G150" s="5">
        <f t="shared" si="43"/>
        <v>2870</v>
      </c>
      <c r="H150" s="5">
        <f t="shared" ref="B150:I150" si="44">+SUM(H145:H149)</f>
        <v>2971</v>
      </c>
      <c r="I150" s="5">
        <f t="shared" si="44"/>
        <v>2925</v>
      </c>
    </row>
    <row r="151" spans="1:9" x14ac:dyDescent="0.3">
      <c r="A151" s="2" t="s">
        <v>104</v>
      </c>
      <c r="B151">
        <v>122</v>
      </c>
      <c r="C151">
        <v>125</v>
      </c>
      <c r="D151">
        <v>125</v>
      </c>
      <c r="E151">
        <v>115</v>
      </c>
      <c r="F151">
        <v>100</v>
      </c>
      <c r="G151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>
        <v>713</v>
      </c>
      <c r="C152">
        <v>937</v>
      </c>
      <c r="D152">
        <v>1238</v>
      </c>
      <c r="E152">
        <v>1450</v>
      </c>
      <c r="F152">
        <v>1673</v>
      </c>
      <c r="G152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G153" si="45">+SUM(B150:B152)</f>
        <v>2996</v>
      </c>
      <c r="C153" s="7">
        <f t="shared" si="45"/>
        <v>3451</v>
      </c>
      <c r="D153" s="7">
        <f t="shared" si="45"/>
        <v>3975</v>
      </c>
      <c r="E153" s="7">
        <f t="shared" si="45"/>
        <v>4454</v>
      </c>
      <c r="F153" s="7">
        <f t="shared" si="45"/>
        <v>4744</v>
      </c>
      <c r="G153" s="7">
        <f t="shared" si="45"/>
        <v>4866</v>
      </c>
      <c r="H153" s="7">
        <f t="shared" ref="B153:H153" si="46">+SUM(H150:H152)</f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G154" si="47">+B153-B31</f>
        <v>0</v>
      </c>
      <c r="C154" s="13">
        <f t="shared" si="47"/>
        <v>0</v>
      </c>
      <c r="D154" s="13">
        <f t="shared" si="47"/>
        <v>0</v>
      </c>
      <c r="E154" s="13">
        <f t="shared" si="47"/>
        <v>0</v>
      </c>
      <c r="F154" s="13">
        <f t="shared" si="47"/>
        <v>0</v>
      </c>
      <c r="G154" s="13">
        <f t="shared" si="47"/>
        <v>0</v>
      </c>
      <c r="H154" s="13">
        <f t="shared" ref="B154:H154" si="48">+H153-H31</f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>
        <v>208</v>
      </c>
      <c r="C156">
        <v>242</v>
      </c>
      <c r="D156">
        <v>223</v>
      </c>
      <c r="E156">
        <v>196</v>
      </c>
      <c r="F156">
        <v>117</v>
      </c>
      <c r="G156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>
        <v>216</v>
      </c>
      <c r="C157">
        <v>215</v>
      </c>
      <c r="D157">
        <v>162</v>
      </c>
      <c r="E157">
        <v>240</v>
      </c>
      <c r="F157">
        <v>233</v>
      </c>
      <c r="G157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>
        <v>69</v>
      </c>
      <c r="C158">
        <v>44</v>
      </c>
      <c r="D158">
        <v>51</v>
      </c>
      <c r="E158">
        <v>76</v>
      </c>
      <c r="F158">
        <v>49</v>
      </c>
      <c r="G158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>
        <v>37</v>
      </c>
      <c r="C159">
        <v>51</v>
      </c>
      <c r="D159">
        <v>39</v>
      </c>
      <c r="E159">
        <v>49</v>
      </c>
      <c r="F159">
        <v>47</v>
      </c>
      <c r="G159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>
        <v>225</v>
      </c>
      <c r="C160">
        <v>258</v>
      </c>
      <c r="D160">
        <v>278</v>
      </c>
      <c r="E160">
        <v>286</v>
      </c>
      <c r="F160">
        <v>278</v>
      </c>
      <c r="G160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G161" si="49">+SUM(B156:B160)</f>
        <v>755</v>
      </c>
      <c r="C161" s="5">
        <f t="shared" si="49"/>
        <v>810</v>
      </c>
      <c r="D161" s="5">
        <f t="shared" si="49"/>
        <v>753</v>
      </c>
      <c r="E161" s="5">
        <f t="shared" si="49"/>
        <v>847</v>
      </c>
      <c r="F161" s="5">
        <f t="shared" si="49"/>
        <v>724</v>
      </c>
      <c r="G161" s="5">
        <f t="shared" si="49"/>
        <v>756</v>
      </c>
      <c r="H161" s="5">
        <f t="shared" ref="B161:I161" si="50">+SUM(H156:H160)</f>
        <v>677</v>
      </c>
      <c r="I161" s="5">
        <f t="shared" si="50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G163" si="51">-(SUM(B161:B162)+B81)</f>
        <v>139</v>
      </c>
      <c r="C163" s="3">
        <f t="shared" si="51"/>
        <v>294</v>
      </c>
      <c r="D163" s="3">
        <f t="shared" si="51"/>
        <v>322</v>
      </c>
      <c r="E163" s="3">
        <f t="shared" si="51"/>
        <v>159</v>
      </c>
      <c r="F163" s="3">
        <f t="shared" si="51"/>
        <v>377</v>
      </c>
      <c r="G163" s="3">
        <f t="shared" si="51"/>
        <v>318</v>
      </c>
      <c r="H163" s="3">
        <f t="shared" ref="B163:H163" si="52">-(SUM(H161:H162)+H81)</f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G164" si="53">+SUM(B161:B163)</f>
        <v>963</v>
      </c>
      <c r="C164" s="7">
        <f t="shared" si="53"/>
        <v>1143</v>
      </c>
      <c r="D164" s="7">
        <f t="shared" si="53"/>
        <v>1105</v>
      </c>
      <c r="E164" s="7">
        <f t="shared" si="53"/>
        <v>1028</v>
      </c>
      <c r="F164" s="7">
        <f t="shared" si="53"/>
        <v>1119</v>
      </c>
      <c r="G164" s="7">
        <f t="shared" si="53"/>
        <v>1086</v>
      </c>
      <c r="H164" s="7">
        <f t="shared" ref="B164:H164" si="54">+SUM(H161:H163)</f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G165" si="55">+B164+B81</f>
        <v>0</v>
      </c>
      <c r="C165" s="13">
        <f t="shared" si="55"/>
        <v>0</v>
      </c>
      <c r="D165" s="13">
        <f t="shared" si="55"/>
        <v>0</v>
      </c>
      <c r="E165" s="13">
        <f t="shared" si="55"/>
        <v>0</v>
      </c>
      <c r="F165" s="13">
        <f t="shared" si="55"/>
        <v>0</v>
      </c>
      <c r="G165" s="13">
        <f t="shared" si="55"/>
        <v>0</v>
      </c>
      <c r="H165" s="13">
        <f t="shared" ref="B165:H165" si="56">+H164+H81</f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>
        <v>121</v>
      </c>
      <c r="C167">
        <v>133</v>
      </c>
      <c r="D167">
        <v>140</v>
      </c>
      <c r="E167">
        <v>160</v>
      </c>
      <c r="F167">
        <v>149</v>
      </c>
      <c r="G167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>
        <v>75</v>
      </c>
      <c r="C168">
        <v>72</v>
      </c>
      <c r="D168">
        <v>91</v>
      </c>
      <c r="E168">
        <v>116</v>
      </c>
      <c r="F168">
        <v>111</v>
      </c>
      <c r="G168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>
        <v>46</v>
      </c>
      <c r="C169">
        <v>48</v>
      </c>
      <c r="D169">
        <v>54</v>
      </c>
      <c r="E169">
        <v>56</v>
      </c>
      <c r="F169">
        <v>50</v>
      </c>
      <c r="G169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>
        <v>27</v>
      </c>
      <c r="C170">
        <v>38</v>
      </c>
      <c r="D170">
        <v>38</v>
      </c>
      <c r="E170">
        <v>55</v>
      </c>
      <c r="F170">
        <v>53</v>
      </c>
      <c r="G170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>
        <v>210</v>
      </c>
      <c r="C171">
        <v>230</v>
      </c>
      <c r="D171">
        <v>233</v>
      </c>
      <c r="E171">
        <v>217</v>
      </c>
      <c r="F171">
        <v>195</v>
      </c>
      <c r="G171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G172" si="57">+SUM(B167:B171)</f>
        <v>479</v>
      </c>
      <c r="C172" s="5">
        <f t="shared" si="57"/>
        <v>521</v>
      </c>
      <c r="D172" s="5">
        <f t="shared" si="57"/>
        <v>556</v>
      </c>
      <c r="E172" s="5">
        <f t="shared" si="57"/>
        <v>604</v>
      </c>
      <c r="F172" s="5">
        <f t="shared" si="57"/>
        <v>558</v>
      </c>
      <c r="G172" s="5">
        <f t="shared" si="57"/>
        <v>584</v>
      </c>
      <c r="H172" s="5">
        <f t="shared" ref="B172:I172" si="58">+SUM(H167:H171)</f>
        <v>577</v>
      </c>
      <c r="I172" s="5">
        <f t="shared" si="58"/>
        <v>561</v>
      </c>
    </row>
    <row r="173" spans="1:9" x14ac:dyDescent="0.3">
      <c r="A173" s="2" t="s">
        <v>104</v>
      </c>
      <c r="B173">
        <v>18</v>
      </c>
      <c r="C173">
        <v>27</v>
      </c>
      <c r="D173">
        <v>28</v>
      </c>
      <c r="E173">
        <v>33</v>
      </c>
      <c r="F173">
        <v>31</v>
      </c>
      <c r="G17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>
        <v>75</v>
      </c>
      <c r="C174">
        <v>84</v>
      </c>
      <c r="D174">
        <v>91</v>
      </c>
      <c r="E174">
        <v>110</v>
      </c>
      <c r="F174">
        <v>116</v>
      </c>
      <c r="G174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G175" si="59">+SUM(B172:B174)</f>
        <v>572</v>
      </c>
      <c r="C175" s="7">
        <f t="shared" si="59"/>
        <v>632</v>
      </c>
      <c r="D175" s="7">
        <f t="shared" si="59"/>
        <v>675</v>
      </c>
      <c r="E175" s="7">
        <f t="shared" si="59"/>
        <v>747</v>
      </c>
      <c r="F175" s="7">
        <f t="shared" si="59"/>
        <v>705</v>
      </c>
      <c r="G175" s="7">
        <f t="shared" si="59"/>
        <v>721</v>
      </c>
      <c r="H175" s="7">
        <f t="shared" ref="B175:H175" si="60">+SUM(H172:H174)</f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G176" si="61">+B175-B66</f>
        <v>0</v>
      </c>
      <c r="C176" s="13">
        <f t="shared" si="61"/>
        <v>0</v>
      </c>
      <c r="D176" s="13">
        <f t="shared" si="61"/>
        <v>0</v>
      </c>
      <c r="E176" s="13">
        <f t="shared" si="61"/>
        <v>0</v>
      </c>
      <c r="F176" s="13">
        <f t="shared" si="61"/>
        <v>0</v>
      </c>
      <c r="G176" s="13">
        <f t="shared" si="61"/>
        <v>0</v>
      </c>
      <c r="H176" s="13">
        <f t="shared" ref="B176:H176" si="62">+H175-H66</f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7.0000000000000007E-2</v>
      </c>
      <c r="C179" s="34">
        <v>7.0000000000000007E-2</v>
      </c>
      <c r="D179" s="34">
        <v>7.0000000000000007E-2</v>
      </c>
      <c r="E179" s="34">
        <v>7.0000000000000007E-2</v>
      </c>
      <c r="F179" s="34">
        <v>7.0000000000000007E-2</v>
      </c>
      <c r="G179" s="34">
        <v>7.0000000000000007E-2</v>
      </c>
      <c r="H179" s="34">
        <v>7.0000000000000007E-2</v>
      </c>
      <c r="I179" s="34">
        <v>7.0000000000000007E-2</v>
      </c>
    </row>
    <row r="180" spans="1:9" x14ac:dyDescent="0.3">
      <c r="A180" s="31" t="s">
        <v>113</v>
      </c>
      <c r="B180" s="30">
        <v>0.08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0.19</v>
      </c>
      <c r="I180" s="30">
        <v>0.05</v>
      </c>
    </row>
    <row r="181" spans="1:9" x14ac:dyDescent="0.3">
      <c r="A181" s="31" t="s">
        <v>114</v>
      </c>
      <c r="B181" s="30">
        <v>0.03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0.19</v>
      </c>
      <c r="I181" s="30">
        <v>0.09</v>
      </c>
    </row>
    <row r="182" spans="1:9" x14ac:dyDescent="0.3">
      <c r="A182" s="31" t="s">
        <v>115</v>
      </c>
      <c r="B182" s="30">
        <v>-0.13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-0.08</v>
      </c>
      <c r="H182" s="30">
        <v>0.19</v>
      </c>
      <c r="I182" s="30">
        <v>0.25</v>
      </c>
    </row>
    <row r="183" spans="1:9" x14ac:dyDescent="0.3">
      <c r="A183" s="33" t="s">
        <v>101</v>
      </c>
      <c r="B183" s="34">
        <v>0.12</v>
      </c>
      <c r="C183" s="34">
        <v>0.12</v>
      </c>
      <c r="D183" s="34">
        <v>0.12</v>
      </c>
      <c r="E183" s="34">
        <v>0.12</v>
      </c>
      <c r="F183" s="34">
        <v>0.12</v>
      </c>
      <c r="G183" s="34">
        <v>0.12</v>
      </c>
      <c r="H183" s="34">
        <v>0.12</v>
      </c>
      <c r="I183" s="34">
        <v>0.12</v>
      </c>
    </row>
    <row r="184" spans="1:9" x14ac:dyDescent="0.3">
      <c r="A184" s="31" t="s">
        <v>113</v>
      </c>
      <c r="B184" s="30">
        <v>0.12</v>
      </c>
      <c r="C184" s="30">
        <v>0.16</v>
      </c>
      <c r="D184" s="30">
        <v>0.06</v>
      </c>
      <c r="E184" s="30">
        <v>0.09</v>
      </c>
      <c r="F184" s="30">
        <v>7.0000000000000007E-2</v>
      </c>
      <c r="G184" s="30">
        <v>-0.06</v>
      </c>
      <c r="H184" s="30">
        <v>0.17</v>
      </c>
      <c r="I184" s="30">
        <v>0.09</v>
      </c>
    </row>
    <row r="185" spans="1:9" x14ac:dyDescent="0.3">
      <c r="A185" s="31" t="s">
        <v>114</v>
      </c>
      <c r="B185" s="30">
        <v>0.09</v>
      </c>
      <c r="C185" s="30">
        <v>0.17</v>
      </c>
      <c r="D185" s="30">
        <v>0.23</v>
      </c>
      <c r="E185" s="30">
        <v>0.16</v>
      </c>
      <c r="F185" s="30">
        <v>0.05</v>
      </c>
      <c r="G185" s="30">
        <v>-0.01</v>
      </c>
      <c r="H185" s="30">
        <v>0.17</v>
      </c>
      <c r="I185" s="30">
        <v>0.16</v>
      </c>
    </row>
    <row r="186" spans="1:9" x14ac:dyDescent="0.3">
      <c r="A186" s="31" t="s">
        <v>115</v>
      </c>
      <c r="B186" s="30">
        <v>7.0000000000000007E-2</v>
      </c>
      <c r="C186" s="30">
        <v>0.06</v>
      </c>
      <c r="D186" s="30">
        <v>0.11</v>
      </c>
      <c r="E186" s="30">
        <v>0.05</v>
      </c>
      <c r="F186" s="30">
        <v>-0.03</v>
      </c>
      <c r="G186" s="30">
        <v>-7.0000000000000007E-2</v>
      </c>
      <c r="H186" s="30">
        <v>0.17</v>
      </c>
      <c r="I186" s="30">
        <v>0.17</v>
      </c>
    </row>
    <row r="187" spans="1:9" x14ac:dyDescent="0.3">
      <c r="A187" s="33" t="s">
        <v>102</v>
      </c>
      <c r="B187" s="34">
        <v>-0.13</v>
      </c>
      <c r="C187" s="34">
        <v>-0.13</v>
      </c>
      <c r="D187" s="34">
        <v>-0.13</v>
      </c>
      <c r="E187" s="34">
        <v>-0.13</v>
      </c>
      <c r="F187" s="34">
        <v>-0.13</v>
      </c>
      <c r="G187" s="34">
        <v>-0.13</v>
      </c>
      <c r="H187" s="34">
        <v>-0.13</v>
      </c>
      <c r="I187" s="34">
        <v>-0.13</v>
      </c>
    </row>
    <row r="188" spans="1:9" x14ac:dyDescent="0.3">
      <c r="A188" s="31" t="s">
        <v>113</v>
      </c>
      <c r="B188" s="30">
        <v>0.14000000000000001</v>
      </c>
      <c r="C188" s="30">
        <v>0.12</v>
      </c>
      <c r="D188" s="30">
        <v>0.1</v>
      </c>
      <c r="E188" s="30">
        <v>-0.05</v>
      </c>
      <c r="F188" s="30">
        <v>-0.13</v>
      </c>
      <c r="G188" s="30">
        <v>-0.1</v>
      </c>
      <c r="H188" s="30">
        <v>0.24</v>
      </c>
      <c r="I188" s="30">
        <v>-0.1</v>
      </c>
    </row>
    <row r="189" spans="1:9" x14ac:dyDescent="0.3">
      <c r="A189" s="31" t="s">
        <v>114</v>
      </c>
      <c r="B189" s="30">
        <v>0.17</v>
      </c>
      <c r="C189" s="30">
        <v>0.2</v>
      </c>
      <c r="D189" s="30">
        <v>0.25</v>
      </c>
      <c r="E189" s="30">
        <v>0.21</v>
      </c>
      <c r="F189" s="30">
        <v>0.19</v>
      </c>
      <c r="G189" s="30">
        <v>-0.06</v>
      </c>
      <c r="H189" s="30">
        <v>0.24</v>
      </c>
      <c r="I189" s="30">
        <v>-0.21</v>
      </c>
    </row>
    <row r="190" spans="1:9" x14ac:dyDescent="0.3">
      <c r="A190" s="31" t="s">
        <v>115</v>
      </c>
      <c r="B190" s="30">
        <v>0.06</v>
      </c>
      <c r="C190" s="30">
        <v>0.12</v>
      </c>
      <c r="D190" s="30">
        <v>0.11</v>
      </c>
      <c r="E190" s="30">
        <v>0.06</v>
      </c>
      <c r="F190" s="30">
        <v>0.01</v>
      </c>
      <c r="G190" s="30">
        <v>-7.0000000000000007E-2</v>
      </c>
      <c r="H190" s="30">
        <v>0.24</v>
      </c>
      <c r="I190" s="30">
        <v>-0.06</v>
      </c>
    </row>
    <row r="191" spans="1:9" x14ac:dyDescent="0.3">
      <c r="A191" s="33" t="s">
        <v>106</v>
      </c>
      <c r="B191" s="34">
        <v>0.16</v>
      </c>
      <c r="C191" s="34">
        <v>0.16</v>
      </c>
      <c r="D191" s="34">
        <v>0.16</v>
      </c>
      <c r="E191" s="34">
        <v>0.16</v>
      </c>
      <c r="F191" s="34">
        <v>0.16</v>
      </c>
      <c r="G191" s="34">
        <v>0.16</v>
      </c>
      <c r="H191" s="34">
        <v>0.16</v>
      </c>
      <c r="I191" s="34">
        <v>0.16</v>
      </c>
    </row>
    <row r="192" spans="1:9" x14ac:dyDescent="0.3">
      <c r="A192" s="31" t="s">
        <v>113</v>
      </c>
      <c r="B192" s="30">
        <v>0.12</v>
      </c>
      <c r="C192" s="30">
        <v>0.18</v>
      </c>
      <c r="D192" s="30">
        <v>0.06</v>
      </c>
      <c r="E192" s="30">
        <v>0.1</v>
      </c>
      <c r="F192" s="30">
        <v>0.13</v>
      </c>
      <c r="G192" s="30">
        <v>0.01</v>
      </c>
      <c r="H192" s="30">
        <v>0.08</v>
      </c>
      <c r="I192" s="30">
        <v>0.17</v>
      </c>
    </row>
    <row r="193" spans="1:9" x14ac:dyDescent="0.3">
      <c r="A193" s="31" t="s">
        <v>114</v>
      </c>
      <c r="B193" s="30">
        <v>7.0000000000000007E-2</v>
      </c>
      <c r="C193" s="30">
        <v>0.15</v>
      </c>
      <c r="D193" s="30">
        <v>0.23</v>
      </c>
      <c r="E193" s="30">
        <v>0.14000000000000001</v>
      </c>
      <c r="F193" s="30">
        <v>0.12</v>
      </c>
      <c r="G193" s="30">
        <v>0.03</v>
      </c>
      <c r="H193" s="30">
        <v>0.08</v>
      </c>
      <c r="I193" s="30">
        <v>0.12</v>
      </c>
    </row>
    <row r="194" spans="1:9" x14ac:dyDescent="0.3">
      <c r="A194" s="31" t="s">
        <v>115</v>
      </c>
      <c r="B194" s="30">
        <v>0.08</v>
      </c>
      <c r="C194" s="30">
        <v>7.0000000000000007E-2</v>
      </c>
      <c r="D194" s="30">
        <v>0.11</v>
      </c>
      <c r="E194" s="30">
        <v>0.09</v>
      </c>
      <c r="F194" s="30">
        <v>0.08</v>
      </c>
      <c r="G194" s="30">
        <v>-0.04</v>
      </c>
      <c r="H194" s="30">
        <v>0.08</v>
      </c>
      <c r="I194" s="30">
        <v>0.28000000000000003</v>
      </c>
    </row>
    <row r="195" spans="1:9" x14ac:dyDescent="0.3">
      <c r="A195" s="33" t="s">
        <v>107</v>
      </c>
      <c r="B195" s="34">
        <v>3.02</v>
      </c>
      <c r="C195" s="34">
        <v>3.02</v>
      </c>
      <c r="D195" s="34">
        <v>3.02</v>
      </c>
      <c r="E195" s="34">
        <v>3.02</v>
      </c>
      <c r="F195" s="34">
        <v>3.02</v>
      </c>
      <c r="G195" s="34">
        <v>3.02</v>
      </c>
      <c r="H195" s="34">
        <v>3.02</v>
      </c>
      <c r="I195" s="34">
        <v>3.02</v>
      </c>
    </row>
    <row r="196" spans="1:9" x14ac:dyDescent="0.3">
      <c r="A196" s="35" t="s">
        <v>103</v>
      </c>
      <c r="B196" s="37">
        <v>0.1</v>
      </c>
      <c r="C196" s="37">
        <v>0.12</v>
      </c>
      <c r="D196" s="37">
        <v>0.08</v>
      </c>
      <c r="E196" s="37">
        <v>0.06</v>
      </c>
      <c r="F196" s="37">
        <v>7.0000000000000007E-2</v>
      </c>
      <c r="G196" s="37">
        <v>0.06</v>
      </c>
      <c r="H196" s="37">
        <v>0.19</v>
      </c>
      <c r="I196" s="37">
        <v>0.06</v>
      </c>
    </row>
    <row r="197" spans="1:9" x14ac:dyDescent="0.3">
      <c r="A197" s="33" t="s">
        <v>104</v>
      </c>
      <c r="B197" s="34">
        <v>0.18</v>
      </c>
      <c r="C197" s="34">
        <v>0.02</v>
      </c>
      <c r="D197" s="34">
        <v>-0.08</v>
      </c>
      <c r="E197" s="34">
        <v>-0.01</v>
      </c>
      <c r="F197" s="34">
        <v>-0.01</v>
      </c>
      <c r="G197" s="34">
        <v>-0.1</v>
      </c>
      <c r="H197" s="34">
        <v>0.19</v>
      </c>
      <c r="I197" s="34">
        <v>7.0000000000000007E-2</v>
      </c>
    </row>
    <row r="198" spans="1:9" x14ac:dyDescent="0.3">
      <c r="A198" s="31" t="s">
        <v>113</v>
      </c>
      <c r="B198" s="30">
        <v>0.13</v>
      </c>
      <c r="C198" s="30">
        <v>0.15</v>
      </c>
      <c r="D198" s="30">
        <v>0.06</v>
      </c>
      <c r="E198" s="30">
        <v>0.04</v>
      </c>
      <c r="F198" s="30">
        <v>0.08</v>
      </c>
      <c r="G198" s="30">
        <v>-0.04</v>
      </c>
      <c r="H198" s="30">
        <v>0.16</v>
      </c>
      <c r="I198" s="30">
        <v>0.06</v>
      </c>
    </row>
    <row r="199" spans="1:9" x14ac:dyDescent="0.3">
      <c r="A199" s="31" t="s">
        <v>114</v>
      </c>
      <c r="B199" s="30">
        <v>0.1</v>
      </c>
      <c r="C199" s="30">
        <v>0.11</v>
      </c>
      <c r="D199" s="30">
        <v>0.09</v>
      </c>
      <c r="E199" s="30">
        <v>0.11</v>
      </c>
      <c r="F199" s="30">
        <v>0.08</v>
      </c>
      <c r="G199" s="30">
        <v>-0.06</v>
      </c>
      <c r="H199" s="30">
        <v>0.16</v>
      </c>
      <c r="I199" s="30">
        <v>-0.03</v>
      </c>
    </row>
    <row r="200" spans="1:9" x14ac:dyDescent="0.3">
      <c r="A200" s="31" t="s">
        <v>115</v>
      </c>
      <c r="B200" s="30">
        <v>0.01</v>
      </c>
      <c r="C200" s="30">
        <v>0.04</v>
      </c>
      <c r="D200" s="30">
        <v>-0.02</v>
      </c>
      <c r="E200" s="30">
        <v>-0.02</v>
      </c>
      <c r="F200" s="30">
        <v>-0.05</v>
      </c>
      <c r="G200" s="30">
        <v>-0.08</v>
      </c>
      <c r="H200" s="30">
        <v>0.16</v>
      </c>
      <c r="I200" s="30">
        <v>-0.16</v>
      </c>
    </row>
    <row r="201" spans="1:9" x14ac:dyDescent="0.3">
      <c r="A201" s="31" t="s">
        <v>121</v>
      </c>
      <c r="B201" s="30">
        <v>0.01</v>
      </c>
      <c r="C201" s="30">
        <v>0.04</v>
      </c>
      <c r="D201" s="30">
        <v>-0.02</v>
      </c>
      <c r="E201" s="30">
        <v>-0.02</v>
      </c>
      <c r="F201" s="30">
        <v>-0.05</v>
      </c>
      <c r="G201" s="30">
        <v>-0.08</v>
      </c>
      <c r="H201" s="30">
        <v>0.16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0.06</v>
      </c>
      <c r="C203" s="36">
        <v>7.0000000000000007E-2</v>
      </c>
      <c r="D203" s="36">
        <v>0.08</v>
      </c>
      <c r="E203" s="36">
        <v>7.0000000000000007E-2</v>
      </c>
      <c r="F203" s="36">
        <v>0.06</v>
      </c>
      <c r="G203" s="36">
        <v>0.05</v>
      </c>
      <c r="H203" s="36">
        <v>0.19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workbookViewId="0">
      <selection activeCell="A3" sqref="A3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62">
        <v>30601</v>
      </c>
      <c r="C3" s="62">
        <v>32376</v>
      </c>
      <c r="D3" s="62">
        <v>34350</v>
      </c>
      <c r="E3" s="62">
        <v>36397</v>
      </c>
      <c r="F3" s="62">
        <v>39117</v>
      </c>
      <c r="G3" s="62">
        <v>37403</v>
      </c>
      <c r="H3" s="62">
        <v>44538</v>
      </c>
      <c r="I3" s="62">
        <v>46710</v>
      </c>
      <c r="J3" s="62">
        <v>49045.5</v>
      </c>
      <c r="K3" s="62">
        <v>51497.78</v>
      </c>
      <c r="L3" s="62">
        <v>54072.66</v>
      </c>
      <c r="M3" s="62">
        <v>56776.3</v>
      </c>
      <c r="N3" s="62">
        <v>59615.11</v>
      </c>
      <c r="O3" t="s">
        <v>142</v>
      </c>
    </row>
    <row r="4" spans="1:15" x14ac:dyDescent="0.3">
      <c r="A4" s="42" t="s">
        <v>129</v>
      </c>
      <c r="B4" s="63">
        <v>0.06</v>
      </c>
      <c r="C4" s="63">
        <v>0.06</v>
      </c>
      <c r="D4" s="63">
        <v>0.06</v>
      </c>
      <c r="E4" s="63">
        <v>7.0000000000000007E-2</v>
      </c>
      <c r="F4" s="63">
        <v>-0.04</v>
      </c>
      <c r="G4" s="63">
        <v>0.19</v>
      </c>
      <c r="H4" s="63">
        <v>0.05</v>
      </c>
      <c r="I4" s="63">
        <v>0.05</v>
      </c>
      <c r="J4" s="63">
        <v>0.05</v>
      </c>
      <c r="K4" s="63">
        <v>0.05</v>
      </c>
      <c r="L4" s="63">
        <v>0.05</v>
      </c>
      <c r="M4" s="63">
        <v>0.05</v>
      </c>
      <c r="N4" s="63">
        <v>0.05</v>
      </c>
    </row>
    <row r="5" spans="1:15" x14ac:dyDescent="0.3">
      <c r="A5" s="41" t="s">
        <v>130</v>
      </c>
      <c r="B5" s="62">
        <v>7200</v>
      </c>
      <c r="C5" s="62">
        <v>7600</v>
      </c>
      <c r="D5" s="62">
        <v>8000</v>
      </c>
      <c r="E5" s="62">
        <v>8300</v>
      </c>
      <c r="F5" s="62">
        <v>8500</v>
      </c>
      <c r="G5" s="62">
        <v>7000</v>
      </c>
      <c r="H5" s="62">
        <v>9500</v>
      </c>
      <c r="I5" s="62">
        <v>9800</v>
      </c>
      <c r="J5" s="62">
        <v>10113.6</v>
      </c>
      <c r="K5" s="62">
        <v>10437.24</v>
      </c>
      <c r="L5" s="62">
        <v>10771.23</v>
      </c>
      <c r="M5" s="62">
        <v>11115.91</v>
      </c>
      <c r="N5" s="62">
        <v>11471.61</v>
      </c>
      <c r="O5" t="s">
        <v>143</v>
      </c>
    </row>
    <row r="6" spans="1:15" x14ac:dyDescent="0.3">
      <c r="A6" s="42" t="s">
        <v>129</v>
      </c>
      <c r="B6" s="64">
        <v>5.6000000000000001E-2</v>
      </c>
      <c r="C6" s="64">
        <v>5.2999999999999999E-2</v>
      </c>
      <c r="D6" s="64">
        <v>3.7999999999999999E-2</v>
      </c>
      <c r="E6" s="64">
        <v>2.4E-2</v>
      </c>
      <c r="F6" s="64">
        <v>-0.17599999999999999</v>
      </c>
      <c r="G6" s="64">
        <v>0.35699999999999998</v>
      </c>
      <c r="H6" s="64">
        <v>3.2000000000000001E-2</v>
      </c>
      <c r="I6" s="64">
        <v>3.2000000000000001E-2</v>
      </c>
      <c r="J6" s="64">
        <v>3.2000000000000001E-2</v>
      </c>
      <c r="K6" s="64">
        <v>3.2000000000000001E-2</v>
      </c>
      <c r="L6" s="64">
        <v>3.2000000000000001E-2</v>
      </c>
      <c r="M6" s="64">
        <v>3.2000000000000001E-2</v>
      </c>
      <c r="N6" s="64">
        <v>3.2000000000000001E-2</v>
      </c>
    </row>
    <row r="7" spans="1:15" x14ac:dyDescent="0.3">
      <c r="A7" s="42" t="s">
        <v>131</v>
      </c>
      <c r="B7" s="64">
        <v>0.23499999999999999</v>
      </c>
      <c r="C7" s="64">
        <v>0.23499999999999999</v>
      </c>
      <c r="D7" s="64">
        <v>0.23300000000000001</v>
      </c>
      <c r="E7" s="64">
        <v>0.22800000000000001</v>
      </c>
      <c r="F7" s="64">
        <v>0.217</v>
      </c>
      <c r="G7" s="64">
        <v>0.187</v>
      </c>
      <c r="H7" s="64">
        <v>0.21299999999999999</v>
      </c>
      <c r="I7" s="64">
        <v>0.21</v>
      </c>
      <c r="J7" s="64">
        <v>0.21</v>
      </c>
      <c r="K7" s="64">
        <v>0.21</v>
      </c>
      <c r="L7" s="64">
        <v>0.21</v>
      </c>
      <c r="M7" s="64">
        <v>0.21</v>
      </c>
      <c r="N7" s="64">
        <v>0.21</v>
      </c>
    </row>
    <row r="8" spans="1:15" x14ac:dyDescent="0.3">
      <c r="A8" s="41" t="s">
        <v>132</v>
      </c>
      <c r="B8" s="62">
        <v>1500</v>
      </c>
      <c r="C8" s="62">
        <v>1600</v>
      </c>
      <c r="D8" s="62">
        <v>1700</v>
      </c>
      <c r="E8" s="62">
        <v>1800</v>
      </c>
      <c r="F8" s="62">
        <v>1850</v>
      </c>
      <c r="G8" s="62">
        <v>1750</v>
      </c>
      <c r="H8" s="62">
        <v>1900</v>
      </c>
      <c r="I8" s="62">
        <v>2000</v>
      </c>
      <c r="J8" s="62">
        <v>2106</v>
      </c>
      <c r="K8" s="62">
        <v>2217.62</v>
      </c>
      <c r="L8" s="62">
        <v>2335.15</v>
      </c>
      <c r="M8" s="62">
        <v>2458.91</v>
      </c>
      <c r="N8" s="62">
        <v>2589.2399999999998</v>
      </c>
      <c r="O8" t="s">
        <v>144</v>
      </c>
    </row>
    <row r="9" spans="1:15" x14ac:dyDescent="0.3">
      <c r="A9" s="42" t="s">
        <v>129</v>
      </c>
      <c r="B9" s="64">
        <v>6.7000000000000004E-2</v>
      </c>
      <c r="C9" s="64">
        <v>6.3E-2</v>
      </c>
      <c r="D9" s="64">
        <v>5.8999999999999997E-2</v>
      </c>
      <c r="E9" s="64">
        <v>2.8000000000000001E-2</v>
      </c>
      <c r="F9" s="64">
        <v>-5.3999999999999999E-2</v>
      </c>
      <c r="G9" s="64">
        <v>8.5999999999999993E-2</v>
      </c>
      <c r="H9" s="64">
        <v>5.2999999999999999E-2</v>
      </c>
      <c r="I9" s="64">
        <v>5.2999999999999999E-2</v>
      </c>
      <c r="J9" s="64">
        <v>5.2999999999999999E-2</v>
      </c>
      <c r="K9" s="64">
        <v>5.2999999999999999E-2</v>
      </c>
      <c r="L9" s="64">
        <v>5.2999999999999999E-2</v>
      </c>
      <c r="M9" s="64">
        <v>5.2999999999999999E-2</v>
      </c>
      <c r="N9" s="64">
        <v>5.2999999999999999E-2</v>
      </c>
    </row>
    <row r="10" spans="1:15" x14ac:dyDescent="0.3">
      <c r="A10" s="42" t="s">
        <v>133</v>
      </c>
      <c r="B10" s="64">
        <v>4.9000000000000002E-2</v>
      </c>
      <c r="C10" s="64">
        <v>4.9000000000000002E-2</v>
      </c>
      <c r="D10" s="64">
        <v>0.05</v>
      </c>
      <c r="E10" s="64">
        <v>4.9000000000000002E-2</v>
      </c>
      <c r="F10" s="64">
        <v>4.7E-2</v>
      </c>
      <c r="G10" s="64">
        <v>4.7E-2</v>
      </c>
      <c r="H10" s="64">
        <v>4.2999999999999997E-2</v>
      </c>
      <c r="I10" s="64">
        <v>4.2999999999999997E-2</v>
      </c>
      <c r="J10" s="64">
        <v>4.2999999999999997E-2</v>
      </c>
      <c r="K10" s="64">
        <v>4.2999999999999997E-2</v>
      </c>
      <c r="L10" s="64">
        <v>4.2999999999999997E-2</v>
      </c>
      <c r="M10" s="64">
        <v>4.2999999999999997E-2</v>
      </c>
      <c r="N10" s="64">
        <v>4.2999999999999997E-2</v>
      </c>
    </row>
    <row r="11" spans="1:15" x14ac:dyDescent="0.3">
      <c r="A11" s="41" t="s">
        <v>134</v>
      </c>
      <c r="B11" s="62">
        <v>4500</v>
      </c>
      <c r="C11" s="62">
        <v>4800</v>
      </c>
      <c r="D11" s="62">
        <v>5100</v>
      </c>
      <c r="E11" s="62">
        <v>5200</v>
      </c>
      <c r="F11" s="62">
        <v>5400</v>
      </c>
      <c r="G11" s="62">
        <v>3000</v>
      </c>
      <c r="H11" s="62">
        <v>6923</v>
      </c>
      <c r="I11" s="62">
        <v>6856</v>
      </c>
      <c r="J11" s="62">
        <v>6787.44</v>
      </c>
      <c r="K11" s="62">
        <v>6719.57</v>
      </c>
      <c r="L11" s="62">
        <v>6652.37</v>
      </c>
      <c r="M11" s="62">
        <v>6585.85</v>
      </c>
      <c r="N11" s="62">
        <v>6519.99</v>
      </c>
      <c r="O11" t="s">
        <v>145</v>
      </c>
    </row>
    <row r="12" spans="1:15" x14ac:dyDescent="0.3">
      <c r="A12" s="42" t="s">
        <v>129</v>
      </c>
      <c r="B12" s="64">
        <v>6.7000000000000004E-2</v>
      </c>
      <c r="C12" s="64">
        <v>6.3E-2</v>
      </c>
      <c r="D12" s="64">
        <v>0.02</v>
      </c>
      <c r="E12" s="64">
        <v>3.7999999999999999E-2</v>
      </c>
      <c r="F12" s="64">
        <v>-0.44400000000000001</v>
      </c>
      <c r="G12" s="64">
        <v>1.3069999999999999</v>
      </c>
      <c r="H12" s="64">
        <v>-0.01</v>
      </c>
      <c r="I12" s="64">
        <v>-0.01</v>
      </c>
      <c r="J12" s="64">
        <v>-0.01</v>
      </c>
      <c r="K12" s="64">
        <v>-0.01</v>
      </c>
      <c r="L12" s="64">
        <v>-0.01</v>
      </c>
      <c r="M12" s="64">
        <v>-0.01</v>
      </c>
      <c r="N12" s="64">
        <v>-0.01</v>
      </c>
    </row>
    <row r="13" spans="1:15" x14ac:dyDescent="0.3">
      <c r="A13" s="42" t="s">
        <v>131</v>
      </c>
      <c r="B13" s="64">
        <v>0.14699999999999999</v>
      </c>
      <c r="C13" s="64">
        <v>0.15</v>
      </c>
      <c r="D13" s="64">
        <v>0.152</v>
      </c>
      <c r="E13" s="64">
        <v>0.14299999999999999</v>
      </c>
      <c r="F13" s="64">
        <v>0.14499999999999999</v>
      </c>
      <c r="G13" s="64">
        <v>0.08</v>
      </c>
      <c r="H13" s="64">
        <v>0.155</v>
      </c>
      <c r="I13" s="64">
        <v>0.14699999999999999</v>
      </c>
      <c r="J13" s="64">
        <v>0.14699999999999999</v>
      </c>
      <c r="K13" s="64">
        <v>0.14699999999999999</v>
      </c>
      <c r="L13" s="64">
        <v>0.14699999999999999</v>
      </c>
      <c r="M13" s="64">
        <v>0.14699999999999999</v>
      </c>
      <c r="N13" s="64">
        <v>0.14699999999999999</v>
      </c>
    </row>
    <row r="14" spans="1:15" x14ac:dyDescent="0.3">
      <c r="A14" s="41" t="s">
        <v>135</v>
      </c>
      <c r="B14" s="62">
        <v>1200</v>
      </c>
      <c r="C14" s="62">
        <v>1300</v>
      </c>
      <c r="D14" s="62">
        <v>1350</v>
      </c>
      <c r="E14" s="62">
        <v>1400</v>
      </c>
      <c r="F14" s="62">
        <v>1500</v>
      </c>
      <c r="G14" s="62">
        <v>1000</v>
      </c>
      <c r="H14" s="62">
        <v>1600</v>
      </c>
      <c r="I14" s="62">
        <v>1700</v>
      </c>
      <c r="J14" s="62">
        <v>1807.1</v>
      </c>
      <c r="K14" s="62">
        <v>1920.95</v>
      </c>
      <c r="L14" s="62">
        <v>2041.97</v>
      </c>
      <c r="M14" s="62">
        <v>2170.61</v>
      </c>
      <c r="N14" s="62">
        <v>2307.36</v>
      </c>
      <c r="O14" t="s">
        <v>146</v>
      </c>
    </row>
    <row r="15" spans="1:15" x14ac:dyDescent="0.3">
      <c r="A15" s="42" t="s">
        <v>129</v>
      </c>
      <c r="B15" s="64">
        <v>8.3000000000000004E-2</v>
      </c>
      <c r="C15" s="64">
        <v>3.7999999999999999E-2</v>
      </c>
      <c r="D15" s="64">
        <v>3.6999999999999998E-2</v>
      </c>
      <c r="E15" s="64">
        <v>7.0999999999999994E-2</v>
      </c>
      <c r="F15" s="64">
        <v>-0.33300000000000002</v>
      </c>
      <c r="G15" s="64">
        <v>0.6</v>
      </c>
      <c r="H15" s="64">
        <v>6.3E-2</v>
      </c>
      <c r="I15" s="64">
        <v>6.3E-2</v>
      </c>
      <c r="J15" s="64">
        <v>6.3E-2</v>
      </c>
      <c r="K15" s="64">
        <v>6.3E-2</v>
      </c>
      <c r="L15" s="64">
        <v>6.3E-2</v>
      </c>
      <c r="M15" s="64">
        <v>6.3E-2</v>
      </c>
      <c r="N15" s="64">
        <v>6.3E-2</v>
      </c>
    </row>
    <row r="16" spans="1:15" x14ac:dyDescent="0.3">
      <c r="A16" s="42" t="s">
        <v>133</v>
      </c>
      <c r="B16" s="47">
        <f>+IFERROR(B14/B$3,"nm")</f>
        <v>3.9214404758014444E-2</v>
      </c>
      <c r="C16" s="47">
        <f t="shared" ref="C16:I16" si="1">+IFERROR(C14/C$3,"nm")</f>
        <v>4.0153199901161354E-2</v>
      </c>
      <c r="D16" s="47">
        <f t="shared" si="1"/>
        <v>3.9301310043668124E-2</v>
      </c>
      <c r="E16" s="47">
        <f t="shared" si="1"/>
        <v>3.8464708629832131E-2</v>
      </c>
      <c r="F16" s="47">
        <f t="shared" si="1"/>
        <v>3.8346498964644531E-2</v>
      </c>
      <c r="G16" s="47">
        <f t="shared" si="1"/>
        <v>2.6735823329679439E-2</v>
      </c>
      <c r="H16" s="47">
        <f t="shared" si="1"/>
        <v>3.5924379181822265E-2</v>
      </c>
      <c r="I16" s="47">
        <f t="shared" si="1"/>
        <v>3.6394776279169344E-2</v>
      </c>
      <c r="J16" s="64">
        <v>3.5999999999999997E-2</v>
      </c>
      <c r="K16" s="64">
        <v>3.5999999999999997E-2</v>
      </c>
      <c r="L16" s="64">
        <v>3.5999999999999997E-2</v>
      </c>
      <c r="M16" s="64">
        <v>3.5999999999999997E-2</v>
      </c>
      <c r="N16" s="64">
        <v>3.5999999999999997E-2</v>
      </c>
    </row>
    <row r="17" spans="1:15" x14ac:dyDescent="0.3">
      <c r="A17" s="9" t="s">
        <v>141</v>
      </c>
      <c r="B17" s="62">
        <v>3011</v>
      </c>
      <c r="C17" s="62">
        <v>3520</v>
      </c>
      <c r="D17" s="62">
        <v>3989</v>
      </c>
      <c r="E17" s="62">
        <v>4544</v>
      </c>
      <c r="F17" s="62">
        <v>4744</v>
      </c>
      <c r="G17" s="62">
        <v>4866</v>
      </c>
      <c r="H17" s="62">
        <v>4904</v>
      </c>
      <c r="I17" s="62">
        <v>4791</v>
      </c>
      <c r="J17" s="62">
        <v>4680.8100000000004</v>
      </c>
      <c r="K17" s="62">
        <v>4573.1499999999996</v>
      </c>
      <c r="L17" s="62">
        <v>4467.97</v>
      </c>
      <c r="M17" s="62">
        <v>4365.2</v>
      </c>
      <c r="N17" s="62">
        <v>4264.8</v>
      </c>
      <c r="O17" t="s">
        <v>147</v>
      </c>
    </row>
    <row r="18" spans="1:15" x14ac:dyDescent="0.3">
      <c r="A18" s="42" t="s">
        <v>129</v>
      </c>
      <c r="B18" s="64">
        <v>0.16900000000000001</v>
      </c>
      <c r="C18" s="64">
        <v>0.13300000000000001</v>
      </c>
      <c r="D18" s="64">
        <v>0.14000000000000001</v>
      </c>
      <c r="E18" s="64">
        <v>0.14000000000000001</v>
      </c>
      <c r="F18" s="64">
        <v>4.3999999999999997E-2</v>
      </c>
      <c r="G18" s="64">
        <v>2.5999999999999999E-2</v>
      </c>
      <c r="H18" s="64">
        <v>8.0000000000000002E-3</v>
      </c>
      <c r="I18" s="64">
        <v>-2.3E-2</v>
      </c>
      <c r="J18" s="64">
        <v>-2.3E-2</v>
      </c>
      <c r="K18" s="64">
        <v>-2.3E-2</v>
      </c>
      <c r="L18" s="64">
        <v>-2.3E-2</v>
      </c>
      <c r="M18" s="64">
        <v>-2.3E-2</v>
      </c>
      <c r="N18" s="64">
        <v>-2.3E-2</v>
      </c>
    </row>
    <row r="19" spans="1:15" x14ac:dyDescent="0.3">
      <c r="A19" s="42" t="s">
        <v>133</v>
      </c>
      <c r="B19" s="64">
        <v>9.8000000000000004E-2</v>
      </c>
      <c r="C19" s="64">
        <v>0.109</v>
      </c>
      <c r="D19" s="64">
        <v>0.11600000000000001</v>
      </c>
      <c r="E19" s="64">
        <v>0.125</v>
      </c>
      <c r="F19" s="64">
        <v>0.121</v>
      </c>
      <c r="G19" s="64">
        <v>0.13</v>
      </c>
      <c r="H19" s="64">
        <v>0.11</v>
      </c>
      <c r="I19" s="64">
        <v>0.10299999999999999</v>
      </c>
      <c r="J19" s="64">
        <v>0.10299999999999999</v>
      </c>
      <c r="K19" s="64">
        <v>0.10299999999999999</v>
      </c>
      <c r="L19" s="64">
        <v>0.10299999999999999</v>
      </c>
      <c r="M19" s="64">
        <v>0.10299999999999999</v>
      </c>
      <c r="N19" s="64">
        <v>0.10299999999999999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+[2]Historicals!H107</f>
        <v>17179</v>
      </c>
      <c r="I21" s="9">
        <f>+[2]Historicals!I107</f>
        <v>18353</v>
      </c>
      <c r="J21" s="9">
        <f>+SUM(J23+J27+J31)</f>
        <v>18353</v>
      </c>
      <c r="K21" s="9">
        <f t="shared" ref="K21:N21" si="2">+SUM(K23+K27+K31)</f>
        <v>18353</v>
      </c>
      <c r="L21" s="9">
        <f t="shared" si="2"/>
        <v>18353</v>
      </c>
      <c r="M21" s="9">
        <f t="shared" si="2"/>
        <v>18353</v>
      </c>
      <c r="N21" s="9">
        <f t="shared" si="2"/>
        <v>18353</v>
      </c>
    </row>
    <row r="22" spans="1:15" x14ac:dyDescent="0.3">
      <c r="A22" s="44" t="s">
        <v>129</v>
      </c>
      <c r="B22" s="47" t="str">
        <f t="shared" ref="B22:H22" si="3">+IFERROR(B21/A21-1,"nm")</f>
        <v>nm</v>
      </c>
      <c r="C22" s="47">
        <f t="shared" si="3"/>
        <v>7.4526928675400228E-2</v>
      </c>
      <c r="D22" s="47">
        <f t="shared" si="3"/>
        <v>3.0615009482525046E-2</v>
      </c>
      <c r="E22" s="47">
        <f t="shared" si="3"/>
        <v>-2.372502628811779E-2</v>
      </c>
      <c r="F22" s="47">
        <f t="shared" si="3"/>
        <v>7.0481319421070276E-2</v>
      </c>
      <c r="G22" s="47">
        <f t="shared" si="3"/>
        <v>-8.9171173437303519E-2</v>
      </c>
      <c r="H22" s="47">
        <f t="shared" si="3"/>
        <v>0.18606738470035911</v>
      </c>
      <c r="I22" s="47">
        <f>+IFERROR(I21/H21-1,"nm")</f>
        <v>6.8339251411607238E-2</v>
      </c>
      <c r="J22" s="47">
        <f t="shared" ref="J22:N22" si="4">+IFERROR(J21/I21-1,"nm")</f>
        <v>0</v>
      </c>
      <c r="K22" s="47">
        <f t="shared" si="4"/>
        <v>0</v>
      </c>
      <c r="L22" s="47">
        <f t="shared" si="4"/>
        <v>0</v>
      </c>
      <c r="M22" s="47">
        <f t="shared" si="4"/>
        <v>0</v>
      </c>
      <c r="N22" s="47">
        <f t="shared" si="4"/>
        <v>0</v>
      </c>
    </row>
    <row r="23" spans="1:15" x14ac:dyDescent="0.3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+[2]Historicals!H108</f>
        <v>11644</v>
      </c>
      <c r="I23" s="3">
        <f>+[2]Historicals!I108</f>
        <v>12228</v>
      </c>
      <c r="J23" s="3">
        <f>+I23*(1+J24)</f>
        <v>12228</v>
      </c>
      <c r="K23" s="3">
        <f t="shared" ref="K23:N23" si="5">+J23*(1+K24)</f>
        <v>12228</v>
      </c>
      <c r="L23" s="3">
        <f t="shared" si="5"/>
        <v>12228</v>
      </c>
      <c r="M23" s="3">
        <f t="shared" si="5"/>
        <v>12228</v>
      </c>
      <c r="N23" s="3">
        <f t="shared" si="5"/>
        <v>12228</v>
      </c>
    </row>
    <row r="24" spans="1:15" x14ac:dyDescent="0.3">
      <c r="A24" s="44" t="s">
        <v>129</v>
      </c>
      <c r="B24" s="47" t="str">
        <f t="shared" ref="B24:H24" si="6">+IFERROR(B23/A23-1,"nm")</f>
        <v>nm</v>
      </c>
      <c r="C24" s="47">
        <f t="shared" si="6"/>
        <v>9.3228309428638578E-2</v>
      </c>
      <c r="D24" s="47">
        <f t="shared" si="6"/>
        <v>4.1402301322722934E-2</v>
      </c>
      <c r="E24" s="47">
        <f t="shared" si="6"/>
        <v>-3.7381247418422192E-2</v>
      </c>
      <c r="F24" s="47">
        <f t="shared" si="6"/>
        <v>7.755846384895948E-2</v>
      </c>
      <c r="G24" s="47">
        <f t="shared" si="6"/>
        <v>-7.1279243404678949E-2</v>
      </c>
      <c r="H24" s="47">
        <f t="shared" si="6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7">+K25+K26</f>
        <v>0</v>
      </c>
      <c r="L24" s="47">
        <f t="shared" si="7"/>
        <v>0</v>
      </c>
      <c r="M24" s="47">
        <f t="shared" si="7"/>
        <v>0</v>
      </c>
      <c r="N24" s="47">
        <f t="shared" si="7"/>
        <v>0</v>
      </c>
    </row>
    <row r="25" spans="1:15" x14ac:dyDescent="0.3">
      <c r="A25" s="44" t="s">
        <v>137</v>
      </c>
      <c r="B25" s="47">
        <f>+[1]Historicals!B180</f>
        <v>0.08</v>
      </c>
      <c r="C25" s="47">
        <f>+[1]Historicals!C180</f>
        <v>0.1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+[2]Historicals!H180</f>
        <v>0.19</v>
      </c>
      <c r="I25" s="47">
        <f>+[2]Historicals!I180</f>
        <v>0.05</v>
      </c>
      <c r="J25" s="49">
        <v>0</v>
      </c>
      <c r="K25" s="49">
        <f t="shared" ref="K25:N26" si="8">+J25</f>
        <v>0</v>
      </c>
      <c r="L25" s="49">
        <f t="shared" si="8"/>
        <v>0</v>
      </c>
      <c r="M25" s="49">
        <f t="shared" si="8"/>
        <v>0</v>
      </c>
      <c r="N25" s="49">
        <f t="shared" si="8"/>
        <v>0</v>
      </c>
    </row>
    <row r="26" spans="1:15" x14ac:dyDescent="0.3">
      <c r="A26" s="44" t="s">
        <v>138</v>
      </c>
      <c r="B26" s="47" t="str">
        <f t="shared" ref="B26:H26" si="9">+IFERROR(B24-B25,"nm")</f>
        <v>nm</v>
      </c>
      <c r="C26" s="47">
        <f t="shared" si="9"/>
        <v>-6.7716905713614273E-3</v>
      </c>
      <c r="D26" s="47">
        <f t="shared" si="9"/>
        <v>1.4023013227229333E-3</v>
      </c>
      <c r="E26" s="47">
        <f t="shared" si="9"/>
        <v>2.6187525815778087E-3</v>
      </c>
      <c r="F26" s="47">
        <f t="shared" si="9"/>
        <v>-2.4415361510405215E-3</v>
      </c>
      <c r="G26" s="47">
        <f t="shared" si="9"/>
        <v>-1.2792434046789425E-3</v>
      </c>
      <c r="H26" s="47">
        <f t="shared" si="9"/>
        <v>5.815092721620746E-2</v>
      </c>
      <c r="I26" s="47">
        <f>+IFERROR(I24-I25,"nm")</f>
        <v>1.5458605290268046E-4</v>
      </c>
      <c r="J26" s="49">
        <v>0</v>
      </c>
      <c r="K26" s="49">
        <f t="shared" si="8"/>
        <v>0</v>
      </c>
      <c r="L26" s="49">
        <f t="shared" si="8"/>
        <v>0</v>
      </c>
      <c r="M26" s="49">
        <f t="shared" si="8"/>
        <v>0</v>
      </c>
      <c r="N26" s="49">
        <f t="shared" si="8"/>
        <v>0</v>
      </c>
    </row>
    <row r="27" spans="1:15" x14ac:dyDescent="0.3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+[2]Historicals!H109</f>
        <v>5028</v>
      </c>
      <c r="I27" s="3">
        <f>+[2]Historicals!I109</f>
        <v>5492</v>
      </c>
      <c r="J27" s="3">
        <f>+I27*(1+J28)</f>
        <v>5492</v>
      </c>
      <c r="K27" s="3">
        <f t="shared" ref="K27:N27" si="10">+J27*(1+K28)</f>
        <v>5492</v>
      </c>
      <c r="L27" s="3">
        <f t="shared" si="10"/>
        <v>5492</v>
      </c>
      <c r="M27" s="3">
        <f t="shared" si="10"/>
        <v>5492</v>
      </c>
      <c r="N27" s="3">
        <f t="shared" si="10"/>
        <v>5492</v>
      </c>
    </row>
    <row r="28" spans="1:15" x14ac:dyDescent="0.3">
      <c r="A28" s="44" t="s">
        <v>129</v>
      </c>
      <c r="B28" s="47" t="str">
        <f t="shared" ref="B28:H28" si="11">+IFERROR(B27/A27-1,"nm")</f>
        <v>nm</v>
      </c>
      <c r="C28" s="47">
        <f t="shared" si="11"/>
        <v>7.6190476190476142E-2</v>
      </c>
      <c r="D28" s="47">
        <f t="shared" si="11"/>
        <v>2.9498525073746285E-2</v>
      </c>
      <c r="E28" s="47">
        <f t="shared" si="11"/>
        <v>1.0642652476463343E-2</v>
      </c>
      <c r="F28" s="47">
        <f t="shared" si="11"/>
        <v>6.5208586472256025E-2</v>
      </c>
      <c r="G28" s="47">
        <f t="shared" si="11"/>
        <v>-0.11806083650190113</v>
      </c>
      <c r="H28" s="47">
        <f t="shared" si="11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12">+K29+K30</f>
        <v>0</v>
      </c>
      <c r="L28" s="47">
        <f t="shared" si="12"/>
        <v>0</v>
      </c>
      <c r="M28" s="47">
        <f t="shared" si="12"/>
        <v>0</v>
      </c>
      <c r="N28" s="47">
        <f t="shared" si="12"/>
        <v>0</v>
      </c>
    </row>
    <row r="29" spans="1:15" x14ac:dyDescent="0.3">
      <c r="A29" s="44" t="s">
        <v>137</v>
      </c>
      <c r="B29" s="47">
        <f>+[1]Historicals!B184</f>
        <v>0.12</v>
      </c>
      <c r="C29" s="47">
        <f>+[1]Historicals!C184</f>
        <v>0.16</v>
      </c>
      <c r="D29" s="47">
        <f>+[1]Historicals!D184</f>
        <v>0.06</v>
      </c>
      <c r="E29" s="47">
        <f>+[1]Historicals!E184</f>
        <v>0.09</v>
      </c>
      <c r="F29" s="47">
        <f>+[1]Historicals!F184</f>
        <v>7.0000000000000007E-2</v>
      </c>
      <c r="G29" s="47">
        <f>+[1]Historicals!G184</f>
        <v>-0.06</v>
      </c>
      <c r="H29" s="47">
        <f>+[2]Historicals!H184</f>
        <v>0.17</v>
      </c>
      <c r="I29" s="47">
        <f>+[2]Historicals!I184</f>
        <v>0.09</v>
      </c>
      <c r="J29" s="49">
        <v>0</v>
      </c>
      <c r="K29" s="49">
        <f t="shared" ref="K29:N30" si="13">+J29</f>
        <v>0</v>
      </c>
      <c r="L29" s="49">
        <f t="shared" si="13"/>
        <v>0</v>
      </c>
      <c r="M29" s="49">
        <f t="shared" si="13"/>
        <v>0</v>
      </c>
      <c r="N29" s="49">
        <f t="shared" si="13"/>
        <v>0</v>
      </c>
    </row>
    <row r="30" spans="1:15" x14ac:dyDescent="0.3">
      <c r="A30" s="44" t="s">
        <v>138</v>
      </c>
      <c r="B30" s="47" t="str">
        <f t="shared" ref="B30:H30" si="14">+IFERROR(B28-B29,"nm")</f>
        <v>nm</v>
      </c>
      <c r="C30" s="47">
        <f t="shared" si="14"/>
        <v>-8.3809523809523861E-2</v>
      </c>
      <c r="D30" s="47">
        <f t="shared" si="14"/>
        <v>-3.0501474926253713E-2</v>
      </c>
      <c r="E30" s="47">
        <f t="shared" si="14"/>
        <v>-7.9357347523536653E-2</v>
      </c>
      <c r="F30" s="47">
        <f t="shared" si="14"/>
        <v>-4.7914135277439818E-3</v>
      </c>
      <c r="G30" s="47">
        <f t="shared" si="14"/>
        <v>-5.8060836501901136E-2</v>
      </c>
      <c r="H30" s="47">
        <f t="shared" si="14"/>
        <v>-8.6145721060573471E-2</v>
      </c>
      <c r="I30" s="47">
        <f>+IFERROR(I28-I29,"nm")</f>
        <v>2.2832140015910107E-3</v>
      </c>
      <c r="J30" s="49">
        <v>0</v>
      </c>
      <c r="K30" s="49">
        <f t="shared" si="13"/>
        <v>0</v>
      </c>
      <c r="L30" s="49">
        <f t="shared" si="13"/>
        <v>0</v>
      </c>
      <c r="M30" s="49">
        <f t="shared" si="13"/>
        <v>0</v>
      </c>
      <c r="N30" s="49">
        <f t="shared" si="13"/>
        <v>0</v>
      </c>
    </row>
    <row r="31" spans="1:15" x14ac:dyDescent="0.3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+[2]Historicals!H110</f>
        <v>507</v>
      </c>
      <c r="I31" s="3">
        <f>+[2]Historicals!I110</f>
        <v>633</v>
      </c>
      <c r="J31" s="3">
        <f>+I31*(1+J32)</f>
        <v>633</v>
      </c>
      <c r="K31" s="3">
        <f t="shared" ref="K31:N31" si="15">+J31*(1+K32)</f>
        <v>633</v>
      </c>
      <c r="L31" s="3">
        <f t="shared" si="15"/>
        <v>633</v>
      </c>
      <c r="M31" s="3">
        <f t="shared" si="15"/>
        <v>633</v>
      </c>
      <c r="N31" s="3">
        <f t="shared" si="15"/>
        <v>633</v>
      </c>
    </row>
    <row r="32" spans="1:15" x14ac:dyDescent="0.3">
      <c r="A32" s="44" t="s">
        <v>129</v>
      </c>
      <c r="B32" s="47" t="str">
        <f t="shared" ref="B32:H32" si="16">+IFERROR(B31/A31-1,"nm")</f>
        <v>nm</v>
      </c>
      <c r="C32" s="47">
        <f t="shared" si="16"/>
        <v>-0.12742718446601942</v>
      </c>
      <c r="D32" s="47">
        <f t="shared" si="16"/>
        <v>-0.10152990264255912</v>
      </c>
      <c r="E32" s="47">
        <f t="shared" si="16"/>
        <v>-7.8947368421052655E-2</v>
      </c>
      <c r="F32" s="47">
        <f t="shared" si="16"/>
        <v>3.3613445378151141E-3</v>
      </c>
      <c r="G32" s="47">
        <f t="shared" si="16"/>
        <v>-0.13567839195979903</v>
      </c>
      <c r="H32" s="47">
        <f t="shared" si="16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17">+K33+K34</f>
        <v>0</v>
      </c>
      <c r="L32" s="47">
        <f t="shared" si="17"/>
        <v>0</v>
      </c>
      <c r="M32" s="47">
        <f t="shared" si="17"/>
        <v>0</v>
      </c>
      <c r="N32" s="47">
        <f t="shared" si="17"/>
        <v>0</v>
      </c>
    </row>
    <row r="33" spans="1:14" x14ac:dyDescent="0.3">
      <c r="A33" s="44" t="s">
        <v>137</v>
      </c>
      <c r="B33" s="47">
        <f>+[1]Historicals!B182</f>
        <v>-0.13</v>
      </c>
      <c r="C33" s="47">
        <f>+[1]Historicals!C182</f>
        <v>-0.13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-0.08</v>
      </c>
      <c r="H33" s="47">
        <f>+[2]Historicals!H182</f>
        <v>0.19</v>
      </c>
      <c r="I33" s="47">
        <f>+[2]Historicals!I182</f>
        <v>0.25</v>
      </c>
      <c r="J33" s="49">
        <v>0</v>
      </c>
      <c r="K33" s="49">
        <f t="shared" ref="K33:N34" si="18">+J33</f>
        <v>0</v>
      </c>
      <c r="L33" s="49">
        <f t="shared" si="18"/>
        <v>0</v>
      </c>
      <c r="M33" s="49">
        <f t="shared" si="18"/>
        <v>0</v>
      </c>
      <c r="N33" s="49">
        <f t="shared" si="18"/>
        <v>0</v>
      </c>
    </row>
    <row r="34" spans="1:14" x14ac:dyDescent="0.3">
      <c r="A34" s="44" t="s">
        <v>138</v>
      </c>
      <c r="B34" s="47" t="str">
        <f t="shared" ref="B34:H34" si="19">+IFERROR(B32-B33,"nm")</f>
        <v>nm</v>
      </c>
      <c r="C34" s="47">
        <f t="shared" si="19"/>
        <v>2.572815533980588E-3</v>
      </c>
      <c r="D34" s="47">
        <f t="shared" si="19"/>
        <v>-1.5299026425591167E-3</v>
      </c>
      <c r="E34" s="47">
        <f t="shared" si="19"/>
        <v>1.0526315789473467E-3</v>
      </c>
      <c r="F34" s="47">
        <f t="shared" si="19"/>
        <v>3.3613445378151141E-3</v>
      </c>
      <c r="G34" s="47">
        <f t="shared" si="19"/>
        <v>-5.5678391959799026E-2</v>
      </c>
      <c r="H34" s="47">
        <f t="shared" si="19"/>
        <v>-0.20744186046511631</v>
      </c>
      <c r="I34" s="47">
        <f>+IFERROR(I32-I33,"nm")</f>
        <v>-1.4792899408284654E-3</v>
      </c>
      <c r="J34" s="49">
        <v>0</v>
      </c>
      <c r="K34" s="49">
        <f t="shared" si="18"/>
        <v>0</v>
      </c>
      <c r="L34" s="49">
        <f t="shared" si="18"/>
        <v>0</v>
      </c>
      <c r="M34" s="49">
        <f t="shared" si="18"/>
        <v>0</v>
      </c>
      <c r="N34" s="49">
        <f t="shared" si="18"/>
        <v>0</v>
      </c>
    </row>
    <row r="35" spans="1:14" x14ac:dyDescent="0.3">
      <c r="A35" s="9" t="s">
        <v>130</v>
      </c>
      <c r="B35" s="48">
        <f t="shared" ref="B35:H35" si="20">+B42+B38</f>
        <v>3766</v>
      </c>
      <c r="C35" s="48">
        <f t="shared" si="20"/>
        <v>3896</v>
      </c>
      <c r="D35" s="48">
        <f t="shared" si="20"/>
        <v>4015</v>
      </c>
      <c r="E35" s="48">
        <f t="shared" si="20"/>
        <v>3760</v>
      </c>
      <c r="F35" s="48">
        <f t="shared" si="20"/>
        <v>4074</v>
      </c>
      <c r="G35" s="48">
        <f t="shared" si="20"/>
        <v>3047</v>
      </c>
      <c r="H35" s="48">
        <f t="shared" si="20"/>
        <v>5219</v>
      </c>
      <c r="I35" s="48">
        <f>+I42+I38</f>
        <v>5238</v>
      </c>
      <c r="J35" s="48">
        <f>+J21*J37</f>
        <v>5238</v>
      </c>
      <c r="K35" s="48">
        <f t="shared" ref="K35:N35" si="21">+K21*K37</f>
        <v>5238</v>
      </c>
      <c r="L35" s="48">
        <f t="shared" si="21"/>
        <v>5238</v>
      </c>
      <c r="M35" s="48">
        <f t="shared" si="21"/>
        <v>5238</v>
      </c>
      <c r="N35" s="48">
        <f t="shared" si="21"/>
        <v>5238</v>
      </c>
    </row>
    <row r="36" spans="1:14" x14ac:dyDescent="0.3">
      <c r="A36" s="46" t="s">
        <v>129</v>
      </c>
      <c r="B36" s="47" t="str">
        <f t="shared" ref="B36:H36" si="22">+IFERROR(B35/A35-1,"nm")</f>
        <v>nm</v>
      </c>
      <c r="C36" s="47">
        <f t="shared" si="22"/>
        <v>3.4519383961763239E-2</v>
      </c>
      <c r="D36" s="47">
        <f t="shared" si="22"/>
        <v>3.0544147843942548E-2</v>
      </c>
      <c r="E36" s="47">
        <f t="shared" si="22"/>
        <v>-6.3511830635118338E-2</v>
      </c>
      <c r="F36" s="47">
        <f t="shared" si="22"/>
        <v>8.3510638297872308E-2</v>
      </c>
      <c r="G36" s="47">
        <f t="shared" si="22"/>
        <v>-0.25208640157093765</v>
      </c>
      <c r="H36" s="47">
        <f t="shared" si="22"/>
        <v>0.71283229405973092</v>
      </c>
      <c r="I36" s="47">
        <f>+IFERROR(I35/H35-1,"nm")</f>
        <v>3.6405441655489312E-3</v>
      </c>
      <c r="J36" s="47">
        <f t="shared" ref="J36:N36" si="23">+IFERROR(J35/I35-1,"nm")</f>
        <v>0</v>
      </c>
      <c r="K36" s="47">
        <f t="shared" si="23"/>
        <v>0</v>
      </c>
      <c r="L36" s="47">
        <f t="shared" si="23"/>
        <v>0</v>
      </c>
      <c r="M36" s="47">
        <f t="shared" si="23"/>
        <v>0</v>
      </c>
      <c r="N36" s="47">
        <f t="shared" si="23"/>
        <v>0</v>
      </c>
    </row>
    <row r="37" spans="1:14" x14ac:dyDescent="0.3">
      <c r="A37" s="46" t="s">
        <v>131</v>
      </c>
      <c r="B37" s="47">
        <f t="shared" ref="B37:H37" si="24">+IFERROR(B35/B$21,"nm")</f>
        <v>0.27409024745269289</v>
      </c>
      <c r="C37" s="47">
        <f t="shared" si="24"/>
        <v>0.26388512598211866</v>
      </c>
      <c r="D37" s="47">
        <f t="shared" si="24"/>
        <v>0.26386698212407994</v>
      </c>
      <c r="E37" s="47">
        <f t="shared" si="24"/>
        <v>0.25311342982160889</v>
      </c>
      <c r="F37" s="47">
        <f t="shared" si="24"/>
        <v>0.25619418941013711</v>
      </c>
      <c r="G37" s="47">
        <f t="shared" si="24"/>
        <v>0.2103700635183651</v>
      </c>
      <c r="H37" s="47">
        <f t="shared" si="24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25">+J37</f>
        <v>0.28540293140086087</v>
      </c>
      <c r="L37" s="49">
        <f t="shared" si="25"/>
        <v>0.28540293140086087</v>
      </c>
      <c r="M37" s="49">
        <f t="shared" si="25"/>
        <v>0.28540293140086087</v>
      </c>
      <c r="N37" s="49">
        <f t="shared" si="25"/>
        <v>0.28540293140086087</v>
      </c>
    </row>
    <row r="38" spans="1:14" x14ac:dyDescent="0.3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+[2]Historicals!H167</f>
        <v>130</v>
      </c>
      <c r="I38" s="9">
        <f>+[2]Historicals!I167</f>
        <v>124</v>
      </c>
      <c r="J38" s="48">
        <f>+J41*J48</f>
        <v>124.00000000000001</v>
      </c>
      <c r="K38" s="48">
        <f t="shared" ref="K38:N38" si="26">+K41*K48</f>
        <v>124.00000000000001</v>
      </c>
      <c r="L38" s="48">
        <f t="shared" si="26"/>
        <v>124.00000000000001</v>
      </c>
      <c r="M38" s="48">
        <f t="shared" si="26"/>
        <v>124.00000000000001</v>
      </c>
      <c r="N38" s="48">
        <f t="shared" si="26"/>
        <v>124.00000000000001</v>
      </c>
    </row>
    <row r="39" spans="1:14" x14ac:dyDescent="0.3">
      <c r="A39" s="46" t="s">
        <v>129</v>
      </c>
      <c r="B39" s="47" t="str">
        <f t="shared" ref="B39:H39" si="27">+IFERROR(B38/A38-1,"nm")</f>
        <v>nm</v>
      </c>
      <c r="C39" s="47">
        <f t="shared" si="27"/>
        <v>9.9173553719008156E-2</v>
      </c>
      <c r="D39" s="47">
        <f t="shared" si="27"/>
        <v>5.2631578947368363E-2</v>
      </c>
      <c r="E39" s="47">
        <f t="shared" si="27"/>
        <v>0.14285714285714279</v>
      </c>
      <c r="F39" s="47">
        <f t="shared" si="27"/>
        <v>-6.8749999999999978E-2</v>
      </c>
      <c r="G39" s="47">
        <f t="shared" si="27"/>
        <v>-6.7114093959731447E-3</v>
      </c>
      <c r="H39" s="47">
        <f t="shared" si="27"/>
        <v>-0.1216216216216216</v>
      </c>
      <c r="I39" s="47">
        <f>+IFERROR(I38/H38-1,"nm")</f>
        <v>-4.6153846153846101E-2</v>
      </c>
      <c r="J39" s="47">
        <f t="shared" ref="J39:N39" si="28">+IFERROR(J38/I38-1,"nm")</f>
        <v>2.2204460492503131E-16</v>
      </c>
      <c r="K39" s="47">
        <f t="shared" si="28"/>
        <v>0</v>
      </c>
      <c r="L39" s="47">
        <f t="shared" si="28"/>
        <v>0</v>
      </c>
      <c r="M39" s="47">
        <f t="shared" si="28"/>
        <v>0</v>
      </c>
      <c r="N39" s="47">
        <f t="shared" si="28"/>
        <v>0</v>
      </c>
    </row>
    <row r="40" spans="1:14" x14ac:dyDescent="0.3">
      <c r="A40" s="46" t="s">
        <v>133</v>
      </c>
      <c r="B40" s="47">
        <f t="shared" ref="B40:H40" si="29">+IFERROR(B38/B$21,"nm")</f>
        <v>8.8064046579330417E-3</v>
      </c>
      <c r="C40" s="47">
        <f t="shared" si="29"/>
        <v>9.0083988079111346E-3</v>
      </c>
      <c r="D40" s="47">
        <f t="shared" si="29"/>
        <v>9.2008412197686646E-3</v>
      </c>
      <c r="E40" s="47">
        <f t="shared" si="29"/>
        <v>1.0770784247728038E-2</v>
      </c>
      <c r="F40" s="47">
        <f t="shared" si="29"/>
        <v>9.3698905798012821E-3</v>
      </c>
      <c r="G40" s="47">
        <f t="shared" si="29"/>
        <v>1.0218171775752554E-2</v>
      </c>
      <c r="H40" s="47">
        <f t="shared" si="29"/>
        <v>7.5673787764130628E-3</v>
      </c>
      <c r="I40" s="47">
        <f>+IFERROR(I38/I$21,"nm")</f>
        <v>6.7563886013185855E-3</v>
      </c>
      <c r="J40" s="47">
        <f t="shared" ref="J40:N40" si="30">+IFERROR(J38/J$21,"nm")</f>
        <v>6.7563886013185864E-3</v>
      </c>
      <c r="K40" s="47">
        <f t="shared" si="30"/>
        <v>6.7563886013185864E-3</v>
      </c>
      <c r="L40" s="47">
        <f t="shared" si="30"/>
        <v>6.7563886013185864E-3</v>
      </c>
      <c r="M40" s="47">
        <f t="shared" si="30"/>
        <v>6.7563886013185864E-3</v>
      </c>
      <c r="N40" s="47">
        <f t="shared" si="30"/>
        <v>6.7563886013185864E-3</v>
      </c>
    </row>
    <row r="41" spans="1:14" x14ac:dyDescent="0.3">
      <c r="A41" s="46" t="s">
        <v>140</v>
      </c>
      <c r="B41" s="47">
        <f t="shared" ref="B41:H41" si="31">+IFERROR(B38/B48,"nm")</f>
        <v>0.19145569620253164</v>
      </c>
      <c r="C41" s="47">
        <f t="shared" si="31"/>
        <v>0.17924528301886791</v>
      </c>
      <c r="D41" s="47">
        <f t="shared" si="31"/>
        <v>0.17094017094017094</v>
      </c>
      <c r="E41" s="47">
        <f t="shared" si="31"/>
        <v>0.18867924528301888</v>
      </c>
      <c r="F41" s="47">
        <f t="shared" si="31"/>
        <v>0.18304668304668303</v>
      </c>
      <c r="G41" s="47">
        <f t="shared" si="31"/>
        <v>0.22945736434108527</v>
      </c>
      <c r="H41" s="47">
        <f t="shared" si="31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32">+J41</f>
        <v>0.19405320813771518</v>
      </c>
      <c r="L41" s="49">
        <f t="shared" si="32"/>
        <v>0.19405320813771518</v>
      </c>
      <c r="M41" s="49">
        <f t="shared" si="32"/>
        <v>0.19405320813771518</v>
      </c>
      <c r="N41" s="49">
        <f t="shared" si="32"/>
        <v>0.19405320813771518</v>
      </c>
    </row>
    <row r="42" spans="1:14" x14ac:dyDescent="0.3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+[2]Historicals!H134</f>
        <v>5089</v>
      </c>
      <c r="I42" s="9">
        <f>+[2]Historicals!I134</f>
        <v>5114</v>
      </c>
      <c r="J42" s="9">
        <f>+J35-J38</f>
        <v>5114</v>
      </c>
      <c r="K42" s="9">
        <f t="shared" ref="K42:N42" si="33">+K35-K38</f>
        <v>5114</v>
      </c>
      <c r="L42" s="9">
        <f t="shared" si="33"/>
        <v>5114</v>
      </c>
      <c r="M42" s="9">
        <f t="shared" si="33"/>
        <v>5114</v>
      </c>
      <c r="N42" s="9">
        <f t="shared" si="33"/>
        <v>5114</v>
      </c>
    </row>
    <row r="43" spans="1:14" x14ac:dyDescent="0.3">
      <c r="A43" s="46" t="s">
        <v>129</v>
      </c>
      <c r="B43" s="47" t="str">
        <f t="shared" ref="B43:H43" si="34">+IFERROR(B42/A42-1,"nm")</f>
        <v>nm</v>
      </c>
      <c r="C43" s="47">
        <f t="shared" si="34"/>
        <v>3.2373113854595292E-2</v>
      </c>
      <c r="D43" s="47">
        <f t="shared" si="34"/>
        <v>2.9763486579856391E-2</v>
      </c>
      <c r="E43" s="47">
        <f t="shared" si="34"/>
        <v>-7.096774193548383E-2</v>
      </c>
      <c r="F43" s="47">
        <f t="shared" si="34"/>
        <v>9.0277777777777679E-2</v>
      </c>
      <c r="G43" s="47">
        <f t="shared" si="34"/>
        <v>-0.26140127388535028</v>
      </c>
      <c r="H43" s="47">
        <f t="shared" si="34"/>
        <v>0.75543290789927564</v>
      </c>
      <c r="I43" s="47">
        <f>+IFERROR(I42/H42-1,"nm")</f>
        <v>4.9125564943997002E-3</v>
      </c>
      <c r="J43" s="47">
        <f t="shared" ref="J43:N43" si="35">+IFERROR(J42/I42-1,"nm")</f>
        <v>0</v>
      </c>
      <c r="K43" s="47">
        <f t="shared" si="35"/>
        <v>0</v>
      </c>
      <c r="L43" s="47">
        <f t="shared" si="35"/>
        <v>0</v>
      </c>
      <c r="M43" s="47">
        <f t="shared" si="35"/>
        <v>0</v>
      </c>
      <c r="N43" s="47">
        <f t="shared" si="35"/>
        <v>0</v>
      </c>
    </row>
    <row r="44" spans="1:14" x14ac:dyDescent="0.3">
      <c r="A44" s="46" t="s">
        <v>131</v>
      </c>
      <c r="B44" s="47">
        <f t="shared" ref="B44:H44" si="36">+IFERROR(B42/B$21,"nm")</f>
        <v>0.26528384279475981</v>
      </c>
      <c r="C44" s="47">
        <f t="shared" si="36"/>
        <v>0.25487672717420751</v>
      </c>
      <c r="D44" s="47">
        <f t="shared" si="36"/>
        <v>0.25466614090431128</v>
      </c>
      <c r="E44" s="47">
        <f t="shared" si="36"/>
        <v>0.24234264557388085</v>
      </c>
      <c r="F44" s="47">
        <f t="shared" si="36"/>
        <v>0.2468242988303358</v>
      </c>
      <c r="G44" s="47">
        <f t="shared" si="36"/>
        <v>0.20015189174261253</v>
      </c>
      <c r="H44" s="47">
        <f t="shared" si="36"/>
        <v>0.29623377379358518</v>
      </c>
      <c r="I44" s="47">
        <f>+IFERROR(I42/I$21,"nm")</f>
        <v>0.27864654279954232</v>
      </c>
      <c r="J44" s="47">
        <f t="shared" ref="J44:N44" si="37">+IFERROR(J42/J$21,"nm")</f>
        <v>0.27864654279954232</v>
      </c>
      <c r="K44" s="47">
        <f t="shared" si="37"/>
        <v>0.27864654279954232</v>
      </c>
      <c r="L44" s="47">
        <f t="shared" si="37"/>
        <v>0.27864654279954232</v>
      </c>
      <c r="M44" s="47">
        <f t="shared" si="37"/>
        <v>0.27864654279954232</v>
      </c>
      <c r="N44" s="47">
        <f t="shared" si="37"/>
        <v>0.27864654279954232</v>
      </c>
    </row>
    <row r="45" spans="1:14" x14ac:dyDescent="0.3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+[2]Historicals!H156</f>
        <v>98</v>
      </c>
      <c r="I45" s="9">
        <f>+[2]Historicals!I156</f>
        <v>146</v>
      </c>
      <c r="J45" s="48">
        <f>+J21*J47</f>
        <v>146</v>
      </c>
      <c r="K45" s="48">
        <f t="shared" ref="K45:N45" si="38">+K21*K47</f>
        <v>146</v>
      </c>
      <c r="L45" s="48">
        <f t="shared" si="38"/>
        <v>146</v>
      </c>
      <c r="M45" s="48">
        <f t="shared" si="38"/>
        <v>146</v>
      </c>
      <c r="N45" s="48">
        <f t="shared" si="38"/>
        <v>146</v>
      </c>
    </row>
    <row r="46" spans="1:14" x14ac:dyDescent="0.3">
      <c r="A46" s="46" t="s">
        <v>129</v>
      </c>
      <c r="B46" s="47" t="str">
        <f t="shared" ref="B46:H46" si="39">+IFERROR(B45/A45-1,"nm")</f>
        <v>nm</v>
      </c>
      <c r="C46" s="47">
        <f t="shared" si="39"/>
        <v>0.16346153846153855</v>
      </c>
      <c r="D46" s="47">
        <f t="shared" si="39"/>
        <v>-7.8512396694214837E-2</v>
      </c>
      <c r="E46" s="47">
        <f t="shared" si="39"/>
        <v>-0.12107623318385652</v>
      </c>
      <c r="F46" s="47">
        <f t="shared" si="39"/>
        <v>-0.40306122448979587</v>
      </c>
      <c r="G46" s="47">
        <f t="shared" si="39"/>
        <v>-5.9829059829059839E-2</v>
      </c>
      <c r="H46" s="47">
        <f t="shared" si="39"/>
        <v>-0.10909090909090913</v>
      </c>
      <c r="I46" s="47">
        <f>+IFERROR(I45/H45-1,"nm")</f>
        <v>0.48979591836734704</v>
      </c>
      <c r="J46" s="47">
        <f t="shared" ref="J46:N46" si="40">+IFERROR(J45/I45-1,"nm")</f>
        <v>0</v>
      </c>
      <c r="K46" s="47">
        <f t="shared" si="40"/>
        <v>0</v>
      </c>
      <c r="L46" s="47">
        <f t="shared" si="40"/>
        <v>0</v>
      </c>
      <c r="M46" s="47">
        <f t="shared" si="40"/>
        <v>0</v>
      </c>
      <c r="N46" s="47">
        <f t="shared" si="40"/>
        <v>0</v>
      </c>
    </row>
    <row r="47" spans="1:14" x14ac:dyDescent="0.3">
      <c r="A47" s="46" t="s">
        <v>133</v>
      </c>
      <c r="B47" s="47">
        <f t="shared" ref="B47:H47" si="41">+IFERROR(B45/B$21,"nm")</f>
        <v>1.5138282387190683E-2</v>
      </c>
      <c r="C47" s="47">
        <f t="shared" si="41"/>
        <v>1.6391221891086428E-2</v>
      </c>
      <c r="D47" s="47">
        <f t="shared" si="41"/>
        <v>1.4655625657202945E-2</v>
      </c>
      <c r="E47" s="47">
        <f t="shared" si="41"/>
        <v>1.3194210703466847E-2</v>
      </c>
      <c r="F47" s="47">
        <f t="shared" si="41"/>
        <v>7.3575650861526856E-3</v>
      </c>
      <c r="G47" s="47">
        <f t="shared" si="41"/>
        <v>7.5945871306268989E-3</v>
      </c>
      <c r="H47" s="47">
        <f t="shared" si="41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42">+J47</f>
        <v>7.9551027080041418E-3</v>
      </c>
      <c r="L47" s="49">
        <f t="shared" si="42"/>
        <v>7.9551027080041418E-3</v>
      </c>
      <c r="M47" s="49">
        <f t="shared" si="42"/>
        <v>7.9551027080041418E-3</v>
      </c>
      <c r="N47" s="49">
        <f t="shared" si="42"/>
        <v>7.9551027080041418E-3</v>
      </c>
    </row>
    <row r="48" spans="1:14" x14ac:dyDescent="0.3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+[2]Historicals!H145</f>
        <v>617</v>
      </c>
      <c r="I48" s="9">
        <f>+[2]Historicals!I145</f>
        <v>639</v>
      </c>
      <c r="J48" s="48">
        <f>+J21*J50</f>
        <v>639.00000000000011</v>
      </c>
      <c r="K48" s="48">
        <f t="shared" ref="K48:N48" si="43">+K21*K50</f>
        <v>639.00000000000011</v>
      </c>
      <c r="L48" s="48">
        <f t="shared" si="43"/>
        <v>639.00000000000011</v>
      </c>
      <c r="M48" s="48">
        <f t="shared" si="43"/>
        <v>639.00000000000011</v>
      </c>
      <c r="N48" s="48">
        <f t="shared" si="43"/>
        <v>639.00000000000011</v>
      </c>
    </row>
    <row r="49" spans="1:14" x14ac:dyDescent="0.3">
      <c r="A49" s="46" t="s">
        <v>129</v>
      </c>
      <c r="B49" s="47" t="str">
        <f t="shared" ref="B49:H49" si="44">+IFERROR(B48/A48-1,"nm")</f>
        <v>nm</v>
      </c>
      <c r="C49" s="47">
        <f t="shared" si="44"/>
        <v>0.17405063291139244</v>
      </c>
      <c r="D49" s="47">
        <f t="shared" si="44"/>
        <v>0.10377358490566047</v>
      </c>
      <c r="E49" s="47">
        <f t="shared" si="44"/>
        <v>3.5409035409035505E-2</v>
      </c>
      <c r="F49" s="47">
        <f t="shared" si="44"/>
        <v>-4.0094339622641528E-2</v>
      </c>
      <c r="G49" s="47">
        <f t="shared" si="44"/>
        <v>-0.20761670761670759</v>
      </c>
      <c r="H49" s="47">
        <f t="shared" si="44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45">+K50+K51</f>
        <v>3.4817196098730456E-2</v>
      </c>
      <c r="L49" s="47">
        <f t="shared" si="45"/>
        <v>3.4817196098730456E-2</v>
      </c>
      <c r="M49" s="47">
        <f t="shared" si="45"/>
        <v>3.4817196098730456E-2</v>
      </c>
      <c r="N49" s="47">
        <f t="shared" si="45"/>
        <v>3.4817196098730456E-2</v>
      </c>
    </row>
    <row r="50" spans="1:14" x14ac:dyDescent="0.3">
      <c r="A50" s="46" t="s">
        <v>133</v>
      </c>
      <c r="B50" s="47">
        <f t="shared" ref="B50:H50" si="46">+IFERROR(B48/B$21,"nm")</f>
        <v>4.599708879184862E-2</v>
      </c>
      <c r="C50" s="47">
        <f t="shared" si="46"/>
        <v>5.0257382823083174E-2</v>
      </c>
      <c r="D50" s="47">
        <f t="shared" si="46"/>
        <v>5.3824921135646686E-2</v>
      </c>
      <c r="E50" s="47">
        <f t="shared" si="46"/>
        <v>5.7085156512958597E-2</v>
      </c>
      <c r="F50" s="47">
        <f t="shared" si="46"/>
        <v>5.1188529744686205E-2</v>
      </c>
      <c r="G50" s="47">
        <f t="shared" si="46"/>
        <v>4.4531897265948632E-2</v>
      </c>
      <c r="H50" s="47">
        <f t="shared" si="46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47">+J50</f>
        <v>3.4817196098730456E-2</v>
      </c>
      <c r="L50" s="49">
        <f t="shared" si="47"/>
        <v>3.4817196098730456E-2</v>
      </c>
      <c r="M50" s="49">
        <f t="shared" si="47"/>
        <v>3.4817196098730456E-2</v>
      </c>
      <c r="N50" s="49">
        <f t="shared" si="47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topLeftCell="A33" zoomScale="128" workbookViewId="0">
      <selection activeCell="D74" sqref="D74"/>
    </sheetView>
  </sheetViews>
  <sheetFormatPr defaultRowHeight="14.4" x14ac:dyDescent="0.3"/>
  <cols>
    <col min="1" max="1" width="48.77734375" customWidth="1"/>
    <col min="2" max="9" width="11.77734375" customWidth="1"/>
    <col min="10" max="14" width="11.77734375" hidden="1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t="s">
        <v>196</v>
      </c>
    </row>
    <row r="4" spans="1:15" x14ac:dyDescent="0.3">
      <c r="A4" s="42" t="s">
        <v>129</v>
      </c>
      <c r="B4" s="54">
        <f>'Segmental forecast'!B4</f>
        <v>0.06</v>
      </c>
      <c r="C4" s="54">
        <f>'Segmental forecast'!C4</f>
        <v>0.06</v>
      </c>
      <c r="D4" s="54">
        <f>'Segmental forecast'!D4</f>
        <v>0.06</v>
      </c>
      <c r="E4" s="54">
        <f>'Segmental forecast'!E4</f>
        <v>7.0000000000000007E-2</v>
      </c>
      <c r="F4" s="54">
        <f>'Segmental forecast'!F4</f>
        <v>-0.04</v>
      </c>
      <c r="G4" s="54">
        <f>'Segmental forecast'!G4</f>
        <v>0.19</v>
      </c>
      <c r="H4" s="54">
        <f>'Segmental forecast'!H4</f>
        <v>0.05</v>
      </c>
      <c r="I4" s="54">
        <f>'Segmental forecast'!I4</f>
        <v>0.05</v>
      </c>
      <c r="J4" s="54"/>
      <c r="K4" s="54"/>
      <c r="L4" s="54"/>
      <c r="M4" s="54"/>
      <c r="N4" s="54"/>
    </row>
    <row r="5" spans="1:15" x14ac:dyDescent="0.3">
      <c r="A5" s="1" t="s">
        <v>149</v>
      </c>
      <c r="B5" s="9">
        <f>'Segmental forecast'!B5</f>
        <v>7200</v>
      </c>
      <c r="C5" s="9">
        <f>'Segmental forecast'!C5</f>
        <v>7600</v>
      </c>
      <c r="D5" s="9">
        <f>'Segmental forecast'!D5</f>
        <v>8000</v>
      </c>
      <c r="E5" s="9">
        <f>'Segmental forecast'!E5</f>
        <v>8300</v>
      </c>
      <c r="F5" s="9">
        <f>'Segmental forecast'!F5</f>
        <v>8500</v>
      </c>
      <c r="G5" s="9">
        <f>'Segmental forecast'!G5</f>
        <v>7000</v>
      </c>
      <c r="H5" s="9">
        <f>'Segmental forecast'!H5</f>
        <v>9500</v>
      </c>
      <c r="I5" s="9">
        <f>'Segmental forecast'!I5</f>
        <v>9800</v>
      </c>
      <c r="J5" s="9"/>
      <c r="K5" s="9"/>
      <c r="L5" s="9"/>
      <c r="M5" s="9"/>
      <c r="N5" s="9"/>
    </row>
    <row r="6" spans="1:15" x14ac:dyDescent="0.3">
      <c r="A6" s="50" t="s">
        <v>132</v>
      </c>
      <c r="B6" s="55">
        <f>'Segmental forecast'!B8</f>
        <v>1500</v>
      </c>
      <c r="C6" s="55">
        <f>'Segmental forecast'!C8</f>
        <v>1600</v>
      </c>
      <c r="D6" s="55">
        <f>'Segmental forecast'!D8</f>
        <v>1700</v>
      </c>
      <c r="E6" s="55">
        <f>'Segmental forecast'!E8</f>
        <v>1800</v>
      </c>
      <c r="F6" s="55">
        <f>'Segmental forecast'!F8</f>
        <v>1850</v>
      </c>
      <c r="G6" s="55">
        <f>'Segmental forecast'!G8</f>
        <v>1750</v>
      </c>
      <c r="H6" s="55">
        <f>'Segmental forecast'!H8</f>
        <v>1900</v>
      </c>
      <c r="I6" s="55">
        <f>'Segmental forecast'!I8</f>
        <v>2000</v>
      </c>
      <c r="J6" s="55">
        <f>'Segmental forecast'!J8</f>
        <v>2106</v>
      </c>
      <c r="K6" s="55">
        <f>'Segmental forecast'!K8</f>
        <v>2217.62</v>
      </c>
      <c r="L6" s="55">
        <f>'Segmental forecast'!L8</f>
        <v>2335.15</v>
      </c>
      <c r="M6" s="55">
        <f>'Segmental forecast'!M8</f>
        <v>2458.91</v>
      </c>
      <c r="N6" s="55">
        <f>'Segmental forecast'!N8</f>
        <v>2589.2399999999998</v>
      </c>
    </row>
    <row r="7" spans="1:15" x14ac:dyDescent="0.3">
      <c r="A7" s="4" t="s">
        <v>134</v>
      </c>
      <c r="B7" s="5">
        <f>'Segmental forecast'!B11</f>
        <v>4500</v>
      </c>
      <c r="C7" s="5">
        <f>'Segmental forecast'!C11</f>
        <v>4800</v>
      </c>
      <c r="D7" s="5">
        <f>'Segmental forecast'!D11</f>
        <v>5100</v>
      </c>
      <c r="E7" s="5">
        <f>'Segmental forecast'!E11</f>
        <v>5200</v>
      </c>
      <c r="F7" s="5">
        <f>'Segmental forecast'!F11</f>
        <v>5400</v>
      </c>
      <c r="G7" s="5">
        <f>'Segmental forecast'!G11</f>
        <v>3000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</row>
    <row r="8" spans="1:15" x14ac:dyDescent="0.3">
      <c r="A8" s="42" t="s">
        <v>129</v>
      </c>
      <c r="B8" s="54">
        <f>'Segmental forecast'!B12</f>
        <v>6.7000000000000004E-2</v>
      </c>
      <c r="C8" s="54">
        <f>'Segmental forecast'!C12</f>
        <v>6.3E-2</v>
      </c>
      <c r="D8" s="54">
        <f>'Segmental forecast'!D12</f>
        <v>0.02</v>
      </c>
      <c r="E8" s="54">
        <f>'Segmental forecast'!E12</f>
        <v>3.7999999999999999E-2</v>
      </c>
      <c r="F8" s="54">
        <f>'Segmental forecast'!F12</f>
        <v>-0.44400000000000001</v>
      </c>
      <c r="G8" s="54">
        <f>'Segmental forecast'!G12</f>
        <v>1.3069999999999999</v>
      </c>
      <c r="H8" s="54">
        <f>'Segmental forecast'!H12</f>
        <v>-0.01</v>
      </c>
      <c r="I8" s="54">
        <f>'Segmental forecast'!I12</f>
        <v>-0.01</v>
      </c>
      <c r="J8" s="54"/>
      <c r="K8" s="54"/>
      <c r="L8" s="54"/>
      <c r="M8" s="54"/>
      <c r="N8" s="54"/>
    </row>
    <row r="9" spans="1:15" x14ac:dyDescent="0.3">
      <c r="A9" s="42" t="s">
        <v>131</v>
      </c>
      <c r="B9" s="54">
        <f>'Segmental forecast'!B13</f>
        <v>0.14699999999999999</v>
      </c>
      <c r="C9" s="54">
        <f>'Segmental forecast'!C13</f>
        <v>0.15</v>
      </c>
      <c r="D9" s="54">
        <f>'Segmental forecast'!D13</f>
        <v>0.152</v>
      </c>
      <c r="E9" s="54">
        <f>'Segmental forecast'!E13</f>
        <v>0.14299999999999999</v>
      </c>
      <c r="F9" s="54">
        <f>'Segmental forecast'!F13</f>
        <v>0.14499999999999999</v>
      </c>
      <c r="G9" s="54">
        <f>'Segmental forecast'!G13</f>
        <v>0.08</v>
      </c>
      <c r="H9" s="54">
        <f>'Segmental forecast'!H13</f>
        <v>0.155</v>
      </c>
      <c r="I9" s="54">
        <f>'Segmental forecast'!I13</f>
        <v>0.14699999999999999</v>
      </c>
      <c r="J9" s="54">
        <f>'Segmental forecast'!J13</f>
        <v>0.14699999999999999</v>
      </c>
      <c r="K9" s="54">
        <f>'Segmental forecast'!K13</f>
        <v>0.14699999999999999</v>
      </c>
      <c r="L9" s="54">
        <f>'Segmental forecast'!L13</f>
        <v>0.14699999999999999</v>
      </c>
      <c r="M9" s="54">
        <f>'Segmental forecast'!M13</f>
        <v>0.14699999999999999</v>
      </c>
      <c r="N9" s="54">
        <f>'Segmental forecast'!N13</f>
        <v>0.14699999999999999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5" x14ac:dyDescent="0.3">
      <c r="A11" s="4" t="s">
        <v>150</v>
      </c>
      <c r="B11" s="5">
        <f>B7-B10</f>
        <v>4472</v>
      </c>
      <c r="C11" s="5">
        <f t="shared" ref="C11:I11" si="1">C7-C10</f>
        <v>4781</v>
      </c>
      <c r="D11" s="5">
        <f t="shared" si="1"/>
        <v>5041</v>
      </c>
      <c r="E11" s="5">
        <f t="shared" si="1"/>
        <v>5146</v>
      </c>
      <c r="F11" s="5">
        <f t="shared" si="1"/>
        <v>5351</v>
      </c>
      <c r="G11" s="5">
        <f t="shared" si="1"/>
        <v>2911</v>
      </c>
      <c r="H11" s="5">
        <f t="shared" si="1"/>
        <v>6661</v>
      </c>
      <c r="I11" s="5">
        <f t="shared" si="1"/>
        <v>6651</v>
      </c>
      <c r="J11" s="5"/>
      <c r="K11" s="5"/>
      <c r="L11" s="5"/>
      <c r="M11" s="5"/>
      <c r="N11" s="5"/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5" x14ac:dyDescent="0.3">
      <c r="A13" s="51" t="s">
        <v>151</v>
      </c>
      <c r="B13" s="56">
        <f>B12/B11*100</f>
        <v>20.840787119856888</v>
      </c>
      <c r="C13" s="56">
        <f t="shared" ref="C13:I13" si="2">C12/C11*100</f>
        <v>18.050617025726837</v>
      </c>
      <c r="D13" s="56">
        <f t="shared" si="2"/>
        <v>12.814917675064471</v>
      </c>
      <c r="E13" s="56">
        <f t="shared" si="2"/>
        <v>46.482705013602796</v>
      </c>
      <c r="F13" s="56">
        <f t="shared" si="2"/>
        <v>14.42720986731452</v>
      </c>
      <c r="G13" s="56">
        <f t="shared" si="2"/>
        <v>11.954654757815183</v>
      </c>
      <c r="H13" s="56">
        <f t="shared" si="2"/>
        <v>14.021918630836211</v>
      </c>
      <c r="I13" s="56">
        <f t="shared" si="2"/>
        <v>9.0963764847391371</v>
      </c>
      <c r="J13" s="57"/>
      <c r="K13" s="57"/>
      <c r="L13" s="57"/>
      <c r="M13" s="57"/>
      <c r="N13" s="57"/>
    </row>
    <row r="14" spans="1:15" ht="15" thickBot="1" x14ac:dyDescent="0.35">
      <c r="A14" s="6" t="s">
        <v>152</v>
      </c>
      <c r="B14" s="7">
        <f>B11-B12</f>
        <v>3540</v>
      </c>
      <c r="C14" s="7">
        <f t="shared" ref="C14:I14" si="3">C11-C12</f>
        <v>3918</v>
      </c>
      <c r="D14" s="7">
        <f t="shared" si="3"/>
        <v>4395</v>
      </c>
      <c r="E14" s="7">
        <f t="shared" si="3"/>
        <v>2754</v>
      </c>
      <c r="F14" s="7">
        <f t="shared" si="3"/>
        <v>4579</v>
      </c>
      <c r="G14" s="7">
        <f t="shared" si="3"/>
        <v>2563</v>
      </c>
      <c r="H14" s="7">
        <f t="shared" si="3"/>
        <v>5727</v>
      </c>
      <c r="I14" s="7">
        <f t="shared" si="3"/>
        <v>6046</v>
      </c>
      <c r="J14" s="7"/>
      <c r="K14" s="7"/>
      <c r="L14" s="7"/>
      <c r="M14" s="7"/>
      <c r="N14" s="7"/>
    </row>
    <row r="15" spans="1:15" ht="15" thickTop="1" x14ac:dyDescent="0.3">
      <c r="A15" t="s">
        <v>153</v>
      </c>
      <c r="B15" s="3">
        <f>Historicals!B54</f>
        <v>3</v>
      </c>
      <c r="C15" s="3">
        <f>Historicals!C54</f>
        <v>3</v>
      </c>
      <c r="D15" s="3">
        <f>Historicals!D54</f>
        <v>3</v>
      </c>
      <c r="E15" s="3">
        <f>Historicals!E54</f>
        <v>3</v>
      </c>
      <c r="F15" s="3">
        <f>Historicals!F54</f>
        <v>3</v>
      </c>
      <c r="G15" s="3">
        <f>Historicals!G54</f>
        <v>3</v>
      </c>
      <c r="H15" s="3">
        <f>Historicals!H54</f>
        <v>3</v>
      </c>
      <c r="I15" s="3">
        <f>Historicals!I54</f>
        <v>3</v>
      </c>
      <c r="J15" s="3"/>
      <c r="K15" s="3"/>
      <c r="L15" s="3"/>
      <c r="M15" s="3"/>
      <c r="N15" s="3"/>
      <c r="O15" t="s">
        <v>197</v>
      </c>
    </row>
    <row r="16" spans="1:15" x14ac:dyDescent="0.3">
      <c r="A16" s="71" t="s">
        <v>154</v>
      </c>
      <c r="B16" s="58">
        <f>Historicals!B15</f>
        <v>1.85</v>
      </c>
      <c r="C16" s="58">
        <f>Historicals!C15</f>
        <v>2.16</v>
      </c>
      <c r="D16" s="58">
        <f>Historicals!D15</f>
        <v>2.5099999999999998</v>
      </c>
      <c r="E16" s="58">
        <f>Historicals!E15</f>
        <v>1.17</v>
      </c>
      <c r="F16" s="58">
        <f>Historicals!F15</f>
        <v>2.4900000000000002</v>
      </c>
      <c r="G16" s="58">
        <f>Historicals!G15</f>
        <v>1.6</v>
      </c>
      <c r="H16" s="58">
        <f>Historicals!H15</f>
        <v>3.56</v>
      </c>
      <c r="I16" s="58">
        <f>Historicals!I15</f>
        <v>3.75</v>
      </c>
      <c r="J16" s="58"/>
      <c r="K16" s="58"/>
      <c r="L16" s="58"/>
      <c r="M16" s="58"/>
      <c r="N16" s="58"/>
    </row>
    <row r="17" spans="1:15" x14ac:dyDescent="0.3">
      <c r="A17" s="71" t="s">
        <v>155</v>
      </c>
      <c r="B17" s="58">
        <f>B61/B15</f>
        <v>-299.66666666666669</v>
      </c>
      <c r="C17" s="58">
        <f t="shared" ref="C17:I17" si="4">C61/C15</f>
        <v>-340.66666666666669</v>
      </c>
      <c r="D17" s="58">
        <f t="shared" si="4"/>
        <v>-377.66666666666669</v>
      </c>
      <c r="E17" s="58">
        <f t="shared" si="4"/>
        <v>-414.33333333333331</v>
      </c>
      <c r="F17" s="58">
        <f t="shared" si="4"/>
        <v>-444</v>
      </c>
      <c r="G17" s="58">
        <f t="shared" si="4"/>
        <v>-484</v>
      </c>
      <c r="H17" s="58">
        <f t="shared" si="4"/>
        <v>-546</v>
      </c>
      <c r="I17" s="58">
        <f t="shared" si="4"/>
        <v>-612.33333333333337</v>
      </c>
      <c r="J17" s="58"/>
      <c r="K17" s="58"/>
      <c r="L17" s="58"/>
      <c r="M17" s="58"/>
      <c r="N17" s="58"/>
    </row>
    <row r="18" spans="1:15" x14ac:dyDescent="0.3">
      <c r="A18" s="72" t="s">
        <v>129</v>
      </c>
      <c r="B18" s="56"/>
      <c r="C18" s="56">
        <f>C17-B17/B17*100</f>
        <v>-440.66666666666669</v>
      </c>
      <c r="D18" s="56">
        <f t="shared" ref="D18:I18" si="5">D17-C17/C17*100</f>
        <v>-477.66666666666669</v>
      </c>
      <c r="E18" s="56">
        <f t="shared" si="5"/>
        <v>-514.33333333333326</v>
      </c>
      <c r="F18" s="56">
        <f t="shared" si="5"/>
        <v>-544</v>
      </c>
      <c r="G18" s="56">
        <f t="shared" si="5"/>
        <v>-584</v>
      </c>
      <c r="H18" s="56">
        <f t="shared" si="5"/>
        <v>-646</v>
      </c>
      <c r="I18" s="56">
        <f t="shared" si="5"/>
        <v>-712.33333333333337</v>
      </c>
      <c r="J18" s="57"/>
      <c r="K18" s="57"/>
      <c r="L18" s="57"/>
      <c r="M18" s="57"/>
      <c r="N18" s="57"/>
      <c r="O18" t="s">
        <v>198</v>
      </c>
    </row>
    <row r="19" spans="1:15" x14ac:dyDescent="0.3">
      <c r="A19" s="72" t="s">
        <v>156</v>
      </c>
      <c r="B19" s="56">
        <f>B17/B16*100</f>
        <v>-16198.198198198199</v>
      </c>
      <c r="C19" s="56">
        <f t="shared" ref="C19:I19" si="6">C17/C16*100</f>
        <v>-15771.604938271605</v>
      </c>
      <c r="D19" s="56">
        <f t="shared" si="6"/>
        <v>-15046.480743691902</v>
      </c>
      <c r="E19" s="56">
        <f t="shared" si="6"/>
        <v>-35413.105413105419</v>
      </c>
      <c r="F19" s="56">
        <f t="shared" si="6"/>
        <v>-17831.325301204815</v>
      </c>
      <c r="G19" s="56">
        <f t="shared" si="6"/>
        <v>-30250</v>
      </c>
      <c r="H19" s="56">
        <f t="shared" si="6"/>
        <v>-15337.078651685393</v>
      </c>
      <c r="I19" s="56">
        <f t="shared" si="6"/>
        <v>-16328.888888888889</v>
      </c>
      <c r="J19" s="56"/>
      <c r="K19" s="56"/>
      <c r="L19" s="56"/>
      <c r="M19" s="56"/>
      <c r="N19" s="56"/>
      <c r="O19" t="s">
        <v>198</v>
      </c>
    </row>
    <row r="20" spans="1:15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3">
      <c r="A22" t="s">
        <v>159</v>
      </c>
      <c r="B22" s="3">
        <f>B70-Historicals!B39+Historicals!B40+Historicals!B46-B21-Historicals!B26</f>
        <v>-5398</v>
      </c>
      <c r="C22" s="3">
        <f>C70-Historicals!C39+Historicals!C40+Historicals!C46-C21-Historicals!C26</f>
        <v>-2254</v>
      </c>
      <c r="D22" s="3">
        <f>D70-Historicals!D39+Historicals!D40+Historicals!D46-D21-Historicals!D26</f>
        <v>-6966</v>
      </c>
      <c r="E22" s="3">
        <f>E70-Historicals!E39+Historicals!E40+Historicals!E46-E21-Historicals!E26</f>
        <v>-7826</v>
      </c>
      <c r="F22" s="3">
        <f>F70-Historicals!F39+Historicals!F40+Historicals!F46-F21-Historicals!F26</f>
        <v>-1986</v>
      </c>
      <c r="G22" s="3">
        <f>G70-Historicals!G39+Historicals!G40+Historicals!G46-G21-Historicals!G26</f>
        <v>2612</v>
      </c>
      <c r="H22" s="3">
        <f>H70-Historicals!H39+Historicals!H40+Historicals!H46-H21-Historicals!H26</f>
        <v>-948</v>
      </c>
      <c r="I22" s="3">
        <f>I70-Historicals!I39+Historicals!I40+Historicals!I46-I21-Historicals!I26</f>
        <v>712</v>
      </c>
      <c r="J22" s="3"/>
      <c r="K22" s="3"/>
      <c r="L22" s="3"/>
      <c r="M22" s="3"/>
      <c r="N22" s="3"/>
    </row>
    <row r="23" spans="1:15" x14ac:dyDescent="0.3">
      <c r="A23" t="s">
        <v>160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3"/>
      <c r="L23" s="3"/>
      <c r="M23" s="3"/>
      <c r="N23" s="3"/>
      <c r="O23" t="s">
        <v>203</v>
      </c>
    </row>
    <row r="24" spans="1:15" x14ac:dyDescent="0.3">
      <c r="A24" s="51" t="s">
        <v>161</v>
      </c>
      <c r="B24" s="56">
        <f>B23/B3*100</f>
        <v>18.18241233946603</v>
      </c>
      <c r="C24" s="56">
        <f t="shared" ref="C24:I24" si="7">C23/C3*100</f>
        <v>18.186310847541389</v>
      </c>
      <c r="D24" s="56">
        <f t="shared" si="7"/>
        <v>19.458515283842797</v>
      </c>
      <c r="E24" s="56">
        <f t="shared" si="7"/>
        <v>17.803665137236585</v>
      </c>
      <c r="F24" s="56">
        <f t="shared" si="7"/>
        <v>18.615947030702763</v>
      </c>
      <c r="G24" s="56">
        <f t="shared" si="7"/>
        <v>21.035745795791783</v>
      </c>
      <c r="H24" s="56">
        <f t="shared" si="7"/>
        <v>19.042166240064663</v>
      </c>
      <c r="I24" s="56">
        <f t="shared" si="7"/>
        <v>20.828516377649326</v>
      </c>
      <c r="J24" s="57"/>
      <c r="K24" s="57"/>
      <c r="L24" s="57"/>
      <c r="M24" s="57"/>
      <c r="N24" s="57"/>
    </row>
    <row r="25" spans="1:15" x14ac:dyDescent="0.3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5" x14ac:dyDescent="0.3">
      <c r="A26" t="s">
        <v>163</v>
      </c>
      <c r="B26" s="3">
        <f>Historicals!B31</f>
        <v>2996</v>
      </c>
      <c r="C26" s="3">
        <f>Historicals!C31</f>
        <v>3451</v>
      </c>
      <c r="D26" s="3">
        <f>Historicals!D31</f>
        <v>3975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3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3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166</v>
      </c>
      <c r="B31" s="7">
        <f>B21+B25+B26+B27+B28+B29+B30</f>
        <v>11815</v>
      </c>
      <c r="C31" s="7">
        <f t="shared" ref="C31:I31" si="8">C21+C25+C26+C27+C28+C29+C30</f>
        <v>10929</v>
      </c>
      <c r="D31" s="7">
        <f t="shared" si="8"/>
        <v>12142</v>
      </c>
      <c r="E31" s="7">
        <f t="shared" si="8"/>
        <v>12781</v>
      </c>
      <c r="F31" s="7">
        <f t="shared" si="8"/>
        <v>13626</v>
      </c>
      <c r="G31" s="7">
        <f t="shared" si="8"/>
        <v>20787</v>
      </c>
      <c r="H31" s="7">
        <f t="shared" si="8"/>
        <v>22836</v>
      </c>
      <c r="I31" s="7">
        <f t="shared" si="8"/>
        <v>22811</v>
      </c>
      <c r="J31" s="7"/>
      <c r="K31" s="7"/>
      <c r="L31" s="7"/>
      <c r="M31" s="7"/>
      <c r="N31" s="7"/>
    </row>
    <row r="32" spans="1:15" ht="15" thickTop="1" x14ac:dyDescent="0.3">
      <c r="A32" t="s">
        <v>167</v>
      </c>
      <c r="B32" s="3">
        <f>B33+B34</f>
        <v>181</v>
      </c>
      <c r="C32" s="3">
        <f t="shared" ref="C32:I32" si="9">C33+C34</f>
        <v>45</v>
      </c>
      <c r="D32" s="3">
        <f t="shared" si="9"/>
        <v>331</v>
      </c>
      <c r="E32" s="3">
        <f t="shared" si="9"/>
        <v>342</v>
      </c>
      <c r="F32" s="3">
        <f t="shared" si="9"/>
        <v>15</v>
      </c>
      <c r="G32" s="3">
        <f t="shared" si="9"/>
        <v>251</v>
      </c>
      <c r="H32" s="3">
        <f t="shared" si="9"/>
        <v>2</v>
      </c>
      <c r="I32" s="3">
        <f t="shared" si="9"/>
        <v>510</v>
      </c>
      <c r="J32" s="3"/>
      <c r="K32" s="3"/>
      <c r="L32" s="3"/>
      <c r="M32" s="3"/>
      <c r="N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5" x14ac:dyDescent="0.3">
      <c r="A35" t="s">
        <v>168</v>
      </c>
      <c r="B35" s="3">
        <f>Historicals!B43+Historicals!B44+Historicals!B42</f>
        <v>4020</v>
      </c>
      <c r="C35" s="3">
        <f>Historicals!C43+Historicals!C44+Historicals!C42</f>
        <v>3122</v>
      </c>
      <c r="D35" s="3">
        <f>Historicals!D43+Historicals!D44+Historicals!D42</f>
        <v>3095</v>
      </c>
      <c r="E35" s="3">
        <f>Historicals!E43+Historicals!E44+Historicals!E42</f>
        <v>3419</v>
      </c>
      <c r="F35" s="3">
        <f>Historicals!F43+Historicals!F44+Historicals!F42</f>
        <v>5239</v>
      </c>
      <c r="G35" s="3">
        <f>Historicals!G43+Historicals!G44+Historicals!G42</f>
        <v>5785</v>
      </c>
      <c r="H35" s="3">
        <f>Historicals!H43+Historicals!H44+Historicals!H42</f>
        <v>6836</v>
      </c>
      <c r="I35" s="3">
        <f>Historicals!I43+Historicals!I44+Historicals!I42</f>
        <v>6862</v>
      </c>
      <c r="J35" s="3"/>
      <c r="K35" s="3"/>
      <c r="L35" s="3"/>
      <c r="M35" s="3"/>
      <c r="N35" s="3"/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0</v>
      </c>
      <c r="E36" s="3">
        <f>Historicals!E46</f>
        <v>0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5" x14ac:dyDescent="0.3">
      <c r="A37" s="53" t="s">
        <v>50</v>
      </c>
      <c r="B37" s="3">
        <v>0</v>
      </c>
      <c r="C37" s="3">
        <v>0</v>
      </c>
      <c r="D37" s="3">
        <f>Historicals!D47</f>
        <v>3471</v>
      </c>
      <c r="E37" s="3">
        <f>Historicals!E47</f>
        <v>3468</v>
      </c>
      <c r="F37" s="3"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5" x14ac:dyDescent="0.3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0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5" x14ac:dyDescent="0.3">
      <c r="A39" t="s">
        <v>170</v>
      </c>
      <c r="B39" s="3">
        <f>Historicals!B58</f>
        <v>12707</v>
      </c>
      <c r="C39" s="3">
        <f>Historicals!C58</f>
        <v>12258</v>
      </c>
      <c r="D39" s="3">
        <f>Historicals!D58</f>
        <v>12407</v>
      </c>
      <c r="E39" s="3">
        <f>Historicals!E58</f>
        <v>9812</v>
      </c>
      <c r="F39" s="3">
        <f>Historicals!F58</f>
        <v>9040</v>
      </c>
      <c r="G39" s="3">
        <f>Historicals!G58</f>
        <v>8055</v>
      </c>
      <c r="H39" s="3">
        <f>Historicals!H58</f>
        <v>12767</v>
      </c>
      <c r="I39" s="3">
        <f>Historicals!I58</f>
        <v>15281</v>
      </c>
      <c r="J39" s="3"/>
      <c r="K39" s="3"/>
      <c r="L39" s="3"/>
      <c r="M39" s="3"/>
      <c r="N39" s="3"/>
    </row>
    <row r="40" spans="1:15" x14ac:dyDescent="0.3">
      <c r="A40" s="2" t="s">
        <v>171</v>
      </c>
      <c r="B40" s="3">
        <f>305+1273*1</f>
        <v>1578</v>
      </c>
      <c r="C40" s="3">
        <f>305+1266*1</f>
        <v>1571</v>
      </c>
      <c r="D40" s="3">
        <f>305+1278*1</f>
        <v>1583</v>
      </c>
      <c r="E40" s="3">
        <f>305+1260*1</f>
        <v>1565</v>
      </c>
      <c r="F40" s="3">
        <f>305+1275*1</f>
        <v>1580</v>
      </c>
      <c r="G40" s="3">
        <f>305+1280*1</f>
        <v>1585</v>
      </c>
      <c r="H40" s="3">
        <f>305+1290*1</f>
        <v>1595</v>
      </c>
      <c r="I40" s="3">
        <f>305+1273*1</f>
        <v>1578</v>
      </c>
      <c r="J40" s="3"/>
      <c r="K40" s="3"/>
      <c r="L40" s="3"/>
      <c r="M40" s="3"/>
      <c r="N40" s="3"/>
    </row>
    <row r="41" spans="1:15" x14ac:dyDescent="0.3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5" x14ac:dyDescent="0.3">
      <c r="A42" s="2" t="s">
        <v>173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  <c r="J42" s="3"/>
      <c r="K42" s="3"/>
      <c r="L42" s="3"/>
      <c r="M42" s="3"/>
      <c r="N42" s="3"/>
    </row>
    <row r="43" spans="1:15" ht="15" thickBot="1" x14ac:dyDescent="0.35">
      <c r="A43" s="6" t="s">
        <v>174</v>
      </c>
      <c r="B43" s="7">
        <f>B32+B33+B34+B38+B35+B36+B37+B40+B41+B42</f>
        <v>14449</v>
      </c>
      <c r="C43" s="7">
        <f t="shared" ref="C43:I43" si="10">C32+C33+C34+C38+C35+C36+C37+C40+C41+C42</f>
        <v>13032</v>
      </c>
      <c r="D43" s="7">
        <f t="shared" si="10"/>
        <v>17412</v>
      </c>
      <c r="E43" s="7">
        <f t="shared" si="10"/>
        <v>15777</v>
      </c>
      <c r="F43" s="7">
        <f t="shared" si="10"/>
        <v>12187</v>
      </c>
      <c r="G43" s="7">
        <f t="shared" si="10"/>
        <v>22628</v>
      </c>
      <c r="H43" s="7">
        <f t="shared" si="10"/>
        <v>26533</v>
      </c>
      <c r="I43" s="7">
        <f t="shared" si="10"/>
        <v>27564</v>
      </c>
      <c r="J43" s="7"/>
      <c r="K43" s="7"/>
      <c r="L43" s="7"/>
      <c r="M43" s="7"/>
      <c r="N43" s="7"/>
    </row>
    <row r="44" spans="1:15" s="1" customFormat="1" ht="15" thickTop="1" x14ac:dyDescent="0.3">
      <c r="A44" s="61" t="s">
        <v>175</v>
      </c>
      <c r="B44" s="61">
        <v>0</v>
      </c>
      <c r="C44" s="61">
        <v>0</v>
      </c>
      <c r="D44" s="61">
        <v>0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/>
      <c r="K44" s="61"/>
      <c r="L44" s="61"/>
      <c r="M44" s="61"/>
      <c r="N44" s="61"/>
    </row>
    <row r="45" spans="1:15" x14ac:dyDescent="0.3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5" x14ac:dyDescent="0.3">
      <c r="A46" s="1" t="s">
        <v>134</v>
      </c>
      <c r="B46" s="9">
        <f>'Segmental forecast'!B11</f>
        <v>4500</v>
      </c>
      <c r="C46" s="9">
        <f>'Segmental forecast'!C11</f>
        <v>4800</v>
      </c>
      <c r="D46" s="9">
        <f>'Segmental forecast'!D11</f>
        <v>5100</v>
      </c>
      <c r="E46" s="9">
        <f>'Segmental forecast'!E11</f>
        <v>5200</v>
      </c>
      <c r="F46" s="9">
        <f>'Segmental forecast'!F11</f>
        <v>5400</v>
      </c>
      <c r="G46" s="9">
        <f>'Segmental forecast'!G11</f>
        <v>3000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t="s">
        <v>202</v>
      </c>
    </row>
    <row r="47" spans="1:15" x14ac:dyDescent="0.3">
      <c r="A47" t="s">
        <v>132</v>
      </c>
      <c r="B47" s="59">
        <f>'Segmental forecast'!B8</f>
        <v>1500</v>
      </c>
      <c r="C47" s="59">
        <f>'Segmental forecast'!C8</f>
        <v>1600</v>
      </c>
      <c r="D47" s="59">
        <f>'Segmental forecast'!D8</f>
        <v>1700</v>
      </c>
      <c r="E47" s="59">
        <f>'Segmental forecast'!E8</f>
        <v>1800</v>
      </c>
      <c r="F47" s="59">
        <f>'Segmental forecast'!F8</f>
        <v>1850</v>
      </c>
      <c r="G47" s="59">
        <f>'Segmental forecast'!G8</f>
        <v>1750</v>
      </c>
      <c r="H47" s="59">
        <f>'Segmental forecast'!H8</f>
        <v>1900</v>
      </c>
      <c r="I47" s="59">
        <f>'Segmental forecast'!I8</f>
        <v>2000</v>
      </c>
      <c r="J47" s="59"/>
      <c r="K47" s="59"/>
      <c r="L47" s="59"/>
      <c r="M47" s="59"/>
      <c r="N47" s="59"/>
      <c r="O47" t="s">
        <v>202</v>
      </c>
    </row>
    <row r="48" spans="1:15" x14ac:dyDescent="0.3">
      <c r="A48" s="71" t="s">
        <v>176</v>
      </c>
      <c r="B48" s="3">
        <f>Historicals!B11</f>
        <v>932</v>
      </c>
      <c r="C48" s="3">
        <f>Historicals!C11</f>
        <v>863</v>
      </c>
      <c r="D48" s="3">
        <f>Historicals!D11</f>
        <v>646</v>
      </c>
      <c r="E48" s="3">
        <f>Historicals!E11</f>
        <v>2392</v>
      </c>
      <c r="F48" s="3">
        <f>Historicals!F11</f>
        <v>772</v>
      </c>
      <c r="G48" s="3">
        <f>Historicals!G11</f>
        <v>348</v>
      </c>
      <c r="H48" s="3">
        <f>Historicals!H11</f>
        <v>934</v>
      </c>
      <c r="I48" s="3">
        <f>Historicals!I11</f>
        <v>605</v>
      </c>
      <c r="J48" s="3"/>
      <c r="K48" s="3"/>
      <c r="L48" s="3"/>
      <c r="M48" s="3"/>
      <c r="N48" s="3"/>
      <c r="O48" t="s">
        <v>206</v>
      </c>
    </row>
    <row r="49" spans="1:15" x14ac:dyDescent="0.3">
      <c r="A49" s="1" t="s">
        <v>177</v>
      </c>
      <c r="B49" s="9">
        <f>B46-B48</f>
        <v>3568</v>
      </c>
      <c r="C49" s="9">
        <f t="shared" ref="C49:I49" si="11">C46-C48</f>
        <v>3937</v>
      </c>
      <c r="D49" s="9">
        <f t="shared" si="11"/>
        <v>4454</v>
      </c>
      <c r="E49" s="9">
        <f t="shared" si="11"/>
        <v>2808</v>
      </c>
      <c r="F49" s="9">
        <f t="shared" si="11"/>
        <v>4628</v>
      </c>
      <c r="G49" s="9">
        <f t="shared" si="11"/>
        <v>2652</v>
      </c>
      <c r="H49" s="9">
        <f t="shared" si="11"/>
        <v>5989</v>
      </c>
      <c r="I49" s="9">
        <f t="shared" si="11"/>
        <v>6251</v>
      </c>
      <c r="J49" s="9"/>
      <c r="K49" s="9"/>
      <c r="L49" s="9"/>
      <c r="M49" s="9"/>
      <c r="N49" s="9"/>
    </row>
    <row r="50" spans="1:15" x14ac:dyDescent="0.3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s="3"/>
      <c r="M50" s="3"/>
      <c r="N50" s="3"/>
      <c r="O50" t="s">
        <v>206</v>
      </c>
    </row>
    <row r="51" spans="1:15" x14ac:dyDescent="0.3">
      <c r="A51" s="71" t="s">
        <v>179</v>
      </c>
      <c r="B51" s="3">
        <v>488</v>
      </c>
      <c r="C51" s="3">
        <f>Historicals!C72+Historicals!C73+Historicals!C74-Historicals!C75</f>
        <v>-105</v>
      </c>
      <c r="D51" s="3">
        <f>Historicals!D72+Historicals!D73+Historicals!D74-Historicals!D75</f>
        <v>-619</v>
      </c>
      <c r="E51" s="3">
        <f>Historicals!E72+Historicals!E73+Historicals!E74-Historicals!E75</f>
        <v>-1548</v>
      </c>
      <c r="F51" s="3">
        <f>Historicals!F72+Historicals!F73+Historicals!F74-Historicals!F75</f>
        <v>-2488</v>
      </c>
      <c r="G51" s="3">
        <f>Historicals!G72+Historicals!G73+Historicals!G74-Historicals!G75</f>
        <v>-1293</v>
      </c>
      <c r="H51" s="3">
        <f>Historicals!H72+Historicals!H73+Historicals!H74-Historicals!H75</f>
        <v>-2607</v>
      </c>
      <c r="I51" s="3">
        <f>Historicals!I72+Historicals!I73+Historicals!I74-Historicals!I75</f>
        <v>-4390</v>
      </c>
      <c r="J51" s="3"/>
      <c r="K51" s="3"/>
      <c r="L51" s="3"/>
      <c r="M51" s="3"/>
      <c r="N51" s="3"/>
      <c r="O51" t="s">
        <v>207</v>
      </c>
    </row>
    <row r="52" spans="1:15" x14ac:dyDescent="0.3">
      <c r="A52" t="s">
        <v>135</v>
      </c>
      <c r="B52" s="3">
        <f>Historicals!B81</f>
        <v>-963</v>
      </c>
      <c r="C52" s="3">
        <f>Historicals!C81</f>
        <v>-1143</v>
      </c>
      <c r="D52" s="3">
        <f>Historicals!D81</f>
        <v>-1105</v>
      </c>
      <c r="E52" s="3">
        <f>Historicals!E81</f>
        <v>-1028</v>
      </c>
      <c r="F52" s="3">
        <f>Historicals!F81</f>
        <v>-1119</v>
      </c>
      <c r="G52" s="3">
        <f>Historicals!G81</f>
        <v>-1086</v>
      </c>
      <c r="H52" s="3">
        <f>Historicals!H81</f>
        <v>-695</v>
      </c>
      <c r="I52" s="3">
        <f>Historicals!I81</f>
        <v>-758</v>
      </c>
      <c r="J52" s="3"/>
      <c r="K52" s="3"/>
      <c r="L52" s="3"/>
      <c r="M52" s="3"/>
      <c r="N52" s="3"/>
      <c r="O52" t="s">
        <v>208</v>
      </c>
    </row>
    <row r="53" spans="1:15" x14ac:dyDescent="0.3">
      <c r="A53" s="1" t="s">
        <v>180</v>
      </c>
      <c r="B53" s="9">
        <f>B49+B47+B51-B52</f>
        <v>6519</v>
      </c>
      <c r="C53" s="9">
        <f t="shared" ref="C53:I53" si="12">C49+C47+C51-C52</f>
        <v>6575</v>
      </c>
      <c r="D53" s="9">
        <f t="shared" si="12"/>
        <v>6640</v>
      </c>
      <c r="E53" s="9">
        <f t="shared" si="12"/>
        <v>4088</v>
      </c>
      <c r="F53" s="9">
        <f t="shared" si="12"/>
        <v>5109</v>
      </c>
      <c r="G53" s="9">
        <f t="shared" si="12"/>
        <v>4195</v>
      </c>
      <c r="H53" s="9">
        <f t="shared" si="12"/>
        <v>5977</v>
      </c>
      <c r="I53" s="9">
        <f t="shared" si="12"/>
        <v>4619</v>
      </c>
      <c r="J53" s="9"/>
      <c r="K53" s="9"/>
      <c r="L53" s="9"/>
      <c r="M53" s="9"/>
      <c r="N53" s="9"/>
    </row>
    <row r="54" spans="1:15" x14ac:dyDescent="0.3">
      <c r="A54" s="71" t="s">
        <v>181</v>
      </c>
      <c r="B54" s="3">
        <v>256</v>
      </c>
      <c r="C54" s="3">
        <v>2483</v>
      </c>
      <c r="D54" s="3">
        <v>3305</v>
      </c>
      <c r="E54" s="3">
        <v>3415</v>
      </c>
      <c r="F54" s="3">
        <v>4591</v>
      </c>
      <c r="G54" s="3">
        <v>1294</v>
      </c>
      <c r="H54" s="3">
        <v>5772</v>
      </c>
      <c r="I54" s="3">
        <v>4386</v>
      </c>
      <c r="J54" s="3"/>
      <c r="K54" s="3"/>
      <c r="L54" s="3"/>
      <c r="M54" s="3"/>
      <c r="N54" s="3"/>
    </row>
    <row r="55" spans="1:15" x14ac:dyDescent="0.3">
      <c r="A55" s="73" t="s">
        <v>182</v>
      </c>
      <c r="B55" s="26">
        <f>B53+B52-B50-B51+B54</f>
        <v>5271</v>
      </c>
      <c r="C55" s="26">
        <f t="shared" ref="C55:I55" si="13">C53+C52-C50-C51+C54</f>
        <v>7950</v>
      </c>
      <c r="D55" s="26">
        <f t="shared" si="13"/>
        <v>9361</v>
      </c>
      <c r="E55" s="26">
        <f t="shared" si="13"/>
        <v>7898</v>
      </c>
      <c r="F55" s="26">
        <f t="shared" si="13"/>
        <v>10916</v>
      </c>
      <c r="G55" s="26">
        <f t="shared" si="13"/>
        <v>5556</v>
      </c>
      <c r="H55" s="26">
        <f t="shared" si="13"/>
        <v>13368</v>
      </c>
      <c r="I55" s="26">
        <f t="shared" si="13"/>
        <v>12347</v>
      </c>
      <c r="J55" s="26"/>
      <c r="K55" s="26"/>
      <c r="L55" s="26"/>
      <c r="M55" s="26"/>
      <c r="N55" s="26"/>
    </row>
    <row r="56" spans="1:15" x14ac:dyDescent="0.3">
      <c r="A56" s="71" t="s">
        <v>183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/>
      <c r="K56" s="3"/>
      <c r="L56" s="3"/>
      <c r="M56" s="3"/>
      <c r="N56" s="3"/>
    </row>
    <row r="57" spans="1:15" x14ac:dyDescent="0.3">
      <c r="A57" s="71" t="s">
        <v>184</v>
      </c>
      <c r="B57" s="3">
        <f>Historicals!B82</f>
        <v>0</v>
      </c>
      <c r="C57" s="3">
        <f>Historicals!C82</f>
        <v>6</v>
      </c>
      <c r="D57" s="3">
        <f>Historicals!D82</f>
        <v>-34</v>
      </c>
      <c r="E57" s="3">
        <f>Historicals!E82</f>
        <v>-22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/>
      <c r="K57" s="3"/>
      <c r="L57" s="3"/>
      <c r="M57" s="3"/>
      <c r="N57" s="3"/>
    </row>
    <row r="58" spans="1:15" x14ac:dyDescent="0.3">
      <c r="A58" s="73" t="s">
        <v>185</v>
      </c>
      <c r="B58" s="26">
        <f>SUM(B56:B57)</f>
        <v>0</v>
      </c>
      <c r="C58" s="26">
        <f t="shared" ref="C58:I58" si="14">SUM(C56:C57)</f>
        <v>6</v>
      </c>
      <c r="D58" s="26">
        <f t="shared" si="14"/>
        <v>-34</v>
      </c>
      <c r="E58" s="26">
        <f t="shared" si="14"/>
        <v>-22</v>
      </c>
      <c r="F58" s="26">
        <f t="shared" si="14"/>
        <v>5</v>
      </c>
      <c r="G58" s="26">
        <f t="shared" si="14"/>
        <v>31</v>
      </c>
      <c r="H58" s="26">
        <f t="shared" si="14"/>
        <v>171</v>
      </c>
      <c r="I58" s="26">
        <f t="shared" si="14"/>
        <v>-19</v>
      </c>
      <c r="J58" s="26"/>
      <c r="K58" s="26"/>
      <c r="L58" s="26"/>
      <c r="M58" s="26"/>
      <c r="N58" s="26"/>
    </row>
    <row r="59" spans="1:15" x14ac:dyDescent="0.3">
      <c r="A59" t="s">
        <v>186</v>
      </c>
      <c r="B59" s="3">
        <f>Historicals!B88-Historicals!B89</f>
        <v>3048</v>
      </c>
      <c r="C59" s="3">
        <f>Historicals!C88-Historicals!C89</f>
        <v>3745</v>
      </c>
      <c r="D59" s="3">
        <f>Historicals!D88-Historicals!D89</f>
        <v>3223</v>
      </c>
      <c r="E59" s="3">
        <f>Historicals!E88-Historicals!E89</f>
        <v>4987</v>
      </c>
      <c r="F59" s="3">
        <f>Historicals!F88-Historicals!F89</f>
        <v>4986</v>
      </c>
      <c r="G59" s="3">
        <f>Historicals!G88-Historicals!G89</f>
        <v>3952</v>
      </c>
      <c r="H59" s="3">
        <f>Historicals!H88-Historicals!H89</f>
        <v>1780</v>
      </c>
      <c r="I59" s="3">
        <f>Historicals!I88-Historicals!I89</f>
        <v>5165</v>
      </c>
      <c r="J59" s="3"/>
      <c r="K59" s="3"/>
      <c r="L59" s="60"/>
      <c r="M59" s="3"/>
      <c r="N59" s="3"/>
    </row>
    <row r="60" spans="1:15" x14ac:dyDescent="0.3">
      <c r="A60" s="72" t="s">
        <v>129</v>
      </c>
      <c r="B60" s="56">
        <f>B59-2628/2628*100</f>
        <v>2948</v>
      </c>
      <c r="C60" s="56">
        <f>C59-B59/B59*100</f>
        <v>3645</v>
      </c>
      <c r="D60" s="56">
        <f t="shared" ref="D60:I60" si="15">D59-C59/C59*100</f>
        <v>3123</v>
      </c>
      <c r="E60" s="56">
        <f t="shared" si="15"/>
        <v>4887</v>
      </c>
      <c r="F60" s="56">
        <f t="shared" si="15"/>
        <v>4886</v>
      </c>
      <c r="G60" s="56">
        <f t="shared" si="15"/>
        <v>3852</v>
      </c>
      <c r="H60" s="56">
        <f t="shared" si="15"/>
        <v>1680</v>
      </c>
      <c r="I60" s="56">
        <f t="shared" si="15"/>
        <v>5065</v>
      </c>
      <c r="J60" s="56"/>
      <c r="K60" s="56"/>
      <c r="L60" s="56"/>
      <c r="M60" s="57"/>
      <c r="N60" s="57"/>
    </row>
    <row r="61" spans="1:15" x14ac:dyDescent="0.3">
      <c r="A61" t="s">
        <v>187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  <c r="L61" s="3"/>
      <c r="M61" s="3"/>
      <c r="N61" s="3"/>
    </row>
    <row r="62" spans="1:15" x14ac:dyDescent="0.3">
      <c r="A62" t="s">
        <v>188</v>
      </c>
      <c r="B62" s="3">
        <f>Historicals!B85</f>
        <v>0</v>
      </c>
      <c r="C62" s="3">
        <f>Historicals!C85</f>
        <v>981</v>
      </c>
      <c r="D62" s="3">
        <f>Historicals!D85</f>
        <v>1482</v>
      </c>
      <c r="E62" s="3">
        <f>Historicals!E85</f>
        <v>0</v>
      </c>
      <c r="F62" s="3">
        <f>Historicals!F85</f>
        <v>0</v>
      </c>
      <c r="G62" s="3">
        <f>Historicals!G85</f>
        <v>0</v>
      </c>
      <c r="H62" s="3">
        <f>Historicals!H85</f>
        <v>0</v>
      </c>
      <c r="I62" s="3">
        <f>Historicals!I85</f>
        <v>0</v>
      </c>
      <c r="J62" s="3"/>
      <c r="K62" s="3"/>
      <c r="L62" s="3"/>
      <c r="M62" s="3"/>
      <c r="N62" s="3"/>
    </row>
    <row r="63" spans="1:15" x14ac:dyDescent="0.3">
      <c r="A63" t="s">
        <v>189</v>
      </c>
      <c r="B63" s="3">
        <f>Historicals!B91</f>
        <v>0</v>
      </c>
      <c r="C63" s="3">
        <f>Historicals!C91</f>
        <v>0</v>
      </c>
      <c r="D63" s="3">
        <f>Historicals!D91</f>
        <v>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</row>
    <row r="64" spans="1:15" x14ac:dyDescent="0.3">
      <c r="A64" s="27" t="s">
        <v>190</v>
      </c>
      <c r="B64" s="26">
        <f>B59+B61</f>
        <v>2149</v>
      </c>
      <c r="C64" s="26">
        <f t="shared" ref="C64:I64" si="16">C59+C61</f>
        <v>2723</v>
      </c>
      <c r="D64" s="26">
        <f t="shared" si="16"/>
        <v>2090</v>
      </c>
      <c r="E64" s="26">
        <f t="shared" si="16"/>
        <v>3744</v>
      </c>
      <c r="F64" s="26">
        <f t="shared" si="16"/>
        <v>3654</v>
      </c>
      <c r="G64" s="26">
        <f t="shared" si="16"/>
        <v>2500</v>
      </c>
      <c r="H64" s="26">
        <f t="shared" si="16"/>
        <v>142</v>
      </c>
      <c r="I64" s="26">
        <f t="shared" si="16"/>
        <v>3328</v>
      </c>
      <c r="J64" s="26"/>
      <c r="K64" s="26"/>
      <c r="L64" s="26"/>
      <c r="M64" s="26"/>
      <c r="N64" s="26"/>
    </row>
    <row r="65" spans="1:15" x14ac:dyDescent="0.3">
      <c r="A65" t="s">
        <v>191</v>
      </c>
      <c r="B65" s="3">
        <f>Historicals!B70</f>
        <v>424</v>
      </c>
      <c r="C65" s="3">
        <f>Historicals!C70</f>
        <v>98</v>
      </c>
      <c r="D65" s="3">
        <f>Historicals!D70</f>
        <v>-117</v>
      </c>
      <c r="E65" s="3">
        <f>Historicals!E70</f>
        <v>-99</v>
      </c>
      <c r="F65" s="3">
        <f>Historicals!F70</f>
        <v>233</v>
      </c>
      <c r="G65" s="3">
        <f>Historicals!G70</f>
        <v>23</v>
      </c>
      <c r="H65" s="3">
        <f>Historicals!H70</f>
        <v>-138</v>
      </c>
      <c r="I65" s="3">
        <f>Historicals!I70</f>
        <v>-26</v>
      </c>
      <c r="J65" s="3"/>
      <c r="K65" s="3"/>
      <c r="L65" s="3"/>
      <c r="M65" s="3"/>
      <c r="N65" s="3"/>
    </row>
    <row r="66" spans="1:15" x14ac:dyDescent="0.3">
      <c r="A66" s="27" t="s">
        <v>192</v>
      </c>
      <c r="B66" s="26">
        <f>B68-B67</f>
        <v>1632</v>
      </c>
      <c r="C66" s="26">
        <f t="shared" ref="C66:I66" si="17">C68-C67</f>
        <v>-714</v>
      </c>
      <c r="D66" s="26">
        <f t="shared" si="17"/>
        <v>670</v>
      </c>
      <c r="E66" s="26">
        <f t="shared" si="17"/>
        <v>441</v>
      </c>
      <c r="F66" s="26">
        <f t="shared" si="17"/>
        <v>217</v>
      </c>
      <c r="G66" s="26">
        <f t="shared" si="17"/>
        <v>3882</v>
      </c>
      <c r="H66" s="26">
        <f t="shared" si="17"/>
        <v>1541</v>
      </c>
      <c r="I66" s="26">
        <f t="shared" si="17"/>
        <v>-1315</v>
      </c>
      <c r="J66" s="26"/>
      <c r="K66" s="26"/>
      <c r="L66" s="26"/>
      <c r="M66" s="26"/>
      <c r="N66" s="26"/>
    </row>
    <row r="67" spans="1:15" x14ac:dyDescent="0.3">
      <c r="A67" t="s">
        <v>193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  <c r="L67" s="3"/>
      <c r="M67" s="3"/>
      <c r="N67" s="3"/>
    </row>
    <row r="68" spans="1:15" ht="15" thickBot="1" x14ac:dyDescent="0.35">
      <c r="A68" s="6" t="s">
        <v>194</v>
      </c>
      <c r="B68" s="7">
        <f>Historicals!B96</f>
        <v>3852</v>
      </c>
      <c r="C68" s="7">
        <f>Historicals!C96</f>
        <v>3138</v>
      </c>
      <c r="D68" s="7">
        <f>Historicals!D96</f>
        <v>3808</v>
      </c>
      <c r="E68" s="7">
        <f>Historicals!E96</f>
        <v>4249</v>
      </c>
      <c r="F68" s="7">
        <f>Historicals!F96</f>
        <v>4466</v>
      </c>
      <c r="G68" s="7">
        <f>Historicals!G96</f>
        <v>8348</v>
      </c>
      <c r="H68" s="7">
        <f>Historicals!H96</f>
        <v>9889</v>
      </c>
      <c r="I68" s="7">
        <f>Historicals!I96</f>
        <v>8574</v>
      </c>
      <c r="J68" s="7"/>
      <c r="K68" s="7"/>
      <c r="L68" s="7"/>
      <c r="M68" s="7"/>
      <c r="N68" s="7"/>
    </row>
    <row r="69" spans="1:15" ht="15" thickTop="1" x14ac:dyDescent="0.3">
      <c r="A69" s="61" t="s">
        <v>175</v>
      </c>
      <c r="B69" s="74">
        <v>0</v>
      </c>
      <c r="C69" s="74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41"/>
      <c r="K69" s="41"/>
      <c r="L69" s="41"/>
      <c r="M69" s="41"/>
      <c r="N69" s="41"/>
    </row>
    <row r="70" spans="1:15" x14ac:dyDescent="0.3">
      <c r="A70" s="1" t="s">
        <v>195</v>
      </c>
      <c r="B70" s="48">
        <f>Historicals!B39+Historicals!B40+Historicals!B46-B21+Historicals!B26</f>
        <v>-520</v>
      </c>
      <c r="C70" s="48">
        <f>Historicals!C39+Historicals!C40+Historicals!C46-C21+Historicals!C26</f>
        <v>1236</v>
      </c>
      <c r="D70" s="48">
        <f>Historicals!D39+Historicals!D40+Historicals!D46-D21+Historicals!D26</f>
        <v>-1106</v>
      </c>
      <c r="E70" s="48">
        <f>Historicals!E39+Historicals!E40+Historicals!E46-E21+Historicals!E26</f>
        <v>-2911</v>
      </c>
      <c r="F70" s="48">
        <f>Historicals!F39+Historicals!F40+Historicals!F46-F21+Historicals!F26</f>
        <v>-790</v>
      </c>
      <c r="G70" s="48">
        <f>Historicals!G39+Historicals!G40+Historicals!G46-G21+Historicals!G26</f>
        <v>1748</v>
      </c>
      <c r="H70" s="48">
        <f>Historicals!H39+Historicals!H40+Historicals!H46-H21+Historicals!H26</f>
        <v>3113</v>
      </c>
      <c r="I70" s="48">
        <f>Historicals!I39+Historicals!I40+Historicals!I46-I21+Historicals!I26</f>
        <v>5279</v>
      </c>
      <c r="J70" s="48"/>
      <c r="K70" s="48"/>
      <c r="L70" s="48"/>
      <c r="M70" s="48"/>
      <c r="N70" s="48"/>
      <c r="O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FRANK-WISDOM EJOOR</cp:lastModifiedBy>
  <dcterms:created xsi:type="dcterms:W3CDTF">2020-05-20T17:26:08Z</dcterms:created>
  <dcterms:modified xsi:type="dcterms:W3CDTF">2024-11-19T00:58:49Z</dcterms:modified>
</cp:coreProperties>
</file>