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wis PC\Downloads\"/>
    </mc:Choice>
  </mc:AlternateContent>
  <xr:revisionPtr revIDLastSave="0" documentId="13_ncr:1_{13B9E83B-C3EB-4209-A8C2-EBEFCA0DCBA9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D31" i="3"/>
  <c r="C30" i="3"/>
  <c r="C31" i="3"/>
  <c r="D92" i="3"/>
  <c r="E92" i="3"/>
  <c r="C92" i="3"/>
  <c r="D91" i="3"/>
  <c r="E91" i="3"/>
  <c r="C91" i="3"/>
  <c r="D90" i="3"/>
  <c r="E90" i="3"/>
  <c r="C90" i="3"/>
  <c r="A91" i="3"/>
  <c r="A92" i="3"/>
  <c r="A90" i="3"/>
  <c r="A89" i="3"/>
  <c r="A81" i="3"/>
  <c r="D87" i="3"/>
  <c r="E87" i="3"/>
  <c r="C87" i="3"/>
  <c r="D86" i="3"/>
  <c r="E86" i="3"/>
  <c r="C86" i="3"/>
  <c r="D83" i="3"/>
  <c r="E83" i="3"/>
  <c r="C83" i="3"/>
  <c r="D85" i="3"/>
  <c r="E85" i="3"/>
  <c r="C85" i="3"/>
  <c r="D84" i="3"/>
  <c r="E84" i="3"/>
  <c r="C84" i="3"/>
  <c r="D82" i="3"/>
  <c r="E82" i="3"/>
  <c r="C82" i="3"/>
  <c r="A82" i="3"/>
  <c r="A83" i="3" s="1"/>
  <c r="A84" i="3" s="1"/>
  <c r="A85" i="3" s="1"/>
  <c r="A86" i="3" s="1"/>
  <c r="A87" i="3" s="1"/>
  <c r="D79" i="3"/>
  <c r="C79" i="3"/>
  <c r="D78" i="3"/>
  <c r="C78" i="3"/>
  <c r="D77" i="3"/>
  <c r="C77" i="3"/>
  <c r="A78" i="3"/>
  <c r="A79" i="3"/>
  <c r="A77" i="3"/>
  <c r="D74" i="3"/>
  <c r="C74" i="3"/>
  <c r="D72" i="3"/>
  <c r="C72" i="3"/>
  <c r="D71" i="3"/>
  <c r="C71" i="3"/>
  <c r="D70" i="3"/>
  <c r="C70" i="3"/>
  <c r="A71" i="3"/>
  <c r="A72" i="3"/>
  <c r="D67" i="3"/>
  <c r="C67" i="3"/>
  <c r="D66" i="3"/>
  <c r="C66" i="3"/>
  <c r="D64" i="3"/>
  <c r="C64" i="3"/>
  <c r="D63" i="3"/>
  <c r="C63" i="3"/>
  <c r="D62" i="3"/>
  <c r="C62" i="3"/>
  <c r="C61" i="3"/>
  <c r="D61" i="3"/>
  <c r="D58" i="3"/>
  <c r="C58" i="3"/>
  <c r="D57" i="3"/>
  <c r="C57" i="3"/>
  <c r="D56" i="3"/>
  <c r="C56" i="3"/>
  <c r="C55" i="3"/>
  <c r="D55" i="3"/>
  <c r="E52" i="3"/>
  <c r="E51" i="3" s="1"/>
  <c r="D52" i="3"/>
  <c r="D51" i="3" s="1"/>
  <c r="C52" i="3"/>
  <c r="C51" i="3" s="1"/>
  <c r="D47" i="3"/>
  <c r="E47" i="3"/>
  <c r="C47" i="3"/>
  <c r="D45" i="3"/>
  <c r="D46" i="3" s="1"/>
  <c r="E45" i="3"/>
  <c r="E46" i="3" s="1"/>
  <c r="C45" i="3"/>
  <c r="C46" i="3" s="1"/>
  <c r="D44" i="3"/>
  <c r="E44" i="3"/>
  <c r="C44" i="3"/>
  <c r="D43" i="3"/>
  <c r="D42" i="3" s="1"/>
  <c r="E43" i="3"/>
  <c r="E42" i="3" s="1"/>
  <c r="C43" i="3"/>
  <c r="C42" i="3" s="1"/>
  <c r="D41" i="3"/>
  <c r="D40" i="3" s="1"/>
  <c r="E41" i="3"/>
  <c r="E40" i="3" s="1"/>
  <c r="C41" i="3"/>
  <c r="C40" i="3" s="1"/>
  <c r="D37" i="3"/>
  <c r="D49" i="3" s="1"/>
  <c r="E37" i="3"/>
  <c r="E49" i="3" s="1"/>
  <c r="C37" i="3"/>
  <c r="C49" i="3" s="1"/>
  <c r="D36" i="3"/>
  <c r="E36" i="3"/>
  <c r="C36" i="3"/>
  <c r="D35" i="3"/>
  <c r="E35" i="3"/>
  <c r="C35" i="3"/>
  <c r="D34" i="3"/>
  <c r="E34" i="3"/>
  <c r="C34" i="3"/>
  <c r="E29" i="3"/>
  <c r="D29" i="3"/>
  <c r="C29" i="3"/>
  <c r="E28" i="3"/>
  <c r="D28" i="3"/>
  <c r="C28" i="3"/>
  <c r="D27" i="3"/>
  <c r="E27" i="3"/>
  <c r="C27" i="3"/>
  <c r="D25" i="3"/>
  <c r="E25" i="3"/>
  <c r="C25" i="3"/>
  <c r="D26" i="3"/>
  <c r="E26" i="3"/>
  <c r="C26" i="3"/>
  <c r="D22" i="3"/>
  <c r="E22" i="3"/>
  <c r="C22" i="3"/>
  <c r="D21" i="3"/>
  <c r="D20" i="3" s="1"/>
  <c r="E21" i="3"/>
  <c r="E20" i="3" s="1"/>
  <c r="C21" i="3"/>
  <c r="C20" i="3" s="1"/>
  <c r="D17" i="3"/>
  <c r="E17" i="3"/>
  <c r="C17" i="3"/>
  <c r="D19" i="3"/>
  <c r="D18" i="3" s="1"/>
  <c r="E19" i="3"/>
  <c r="E18" i="3" s="1"/>
  <c r="C19" i="3"/>
  <c r="C18" i="3" s="1"/>
  <c r="D14" i="3"/>
  <c r="E14" i="3"/>
  <c r="C14" i="3"/>
  <c r="C13" i="3" s="1"/>
  <c r="D11" i="3"/>
  <c r="E11" i="3"/>
  <c r="C11" i="3"/>
  <c r="D10" i="3"/>
  <c r="E10" i="3"/>
  <c r="C10" i="3"/>
  <c r="D9" i="3"/>
  <c r="E9" i="3"/>
  <c r="C9" i="3"/>
  <c r="D8" i="3"/>
  <c r="E8" i="3"/>
  <c r="C8" i="3"/>
  <c r="D7" i="3"/>
  <c r="E7" i="3"/>
  <c r="C7" i="3"/>
  <c r="D6" i="3"/>
  <c r="E6" i="3"/>
  <c r="C6" i="3"/>
  <c r="D5" i="3"/>
  <c r="E5" i="3"/>
  <c r="C5" i="3"/>
  <c r="D108" i="1"/>
  <c r="C108" i="1"/>
  <c r="B108" i="1"/>
  <c r="D99" i="1"/>
  <c r="C99" i="1"/>
  <c r="B99" i="1"/>
  <c r="C12" i="3" l="1"/>
  <c r="E12" i="3"/>
  <c r="D12" i="3"/>
  <c r="E13" i="3"/>
  <c r="D13" i="3"/>
  <c r="C50" i="3"/>
  <c r="D50" i="3"/>
  <c r="E50" i="3"/>
  <c r="D68" i="1"/>
  <c r="C68" i="1"/>
  <c r="B68" i="1"/>
  <c r="D61" i="1"/>
  <c r="C61" i="1"/>
  <c r="B61" i="1"/>
  <c r="D56" i="1"/>
  <c r="C56" i="1"/>
  <c r="C62" i="1" s="1"/>
  <c r="B56" i="1"/>
  <c r="B62" i="1" s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B18" i="1" l="1"/>
  <c r="B20" i="1" s="1"/>
  <c r="B22" i="1" s="1"/>
  <c r="B76" i="1" s="1"/>
  <c r="B91" i="1" s="1"/>
  <c r="B109" i="1" s="1"/>
  <c r="C48" i="1"/>
  <c r="D62" i="1"/>
  <c r="D69" i="1" s="1"/>
  <c r="C69" i="1"/>
  <c r="D48" i="1"/>
  <c r="B69" i="1"/>
  <c r="A47" i="3"/>
  <c r="A49" i="3" s="1"/>
  <c r="A16" i="3"/>
  <c r="A5" i="3"/>
  <c r="A6" i="3" s="1"/>
  <c r="A7" i="3" s="1"/>
  <c r="A8" i="3" s="1"/>
  <c r="A9" i="3" s="1"/>
  <c r="A10" i="3" s="1"/>
  <c r="A11" i="3" s="1"/>
  <c r="A12" i="3" s="1"/>
  <c r="A13" i="3" s="1"/>
  <c r="A17" i="3" l="1"/>
  <c r="A18" i="3" s="1"/>
  <c r="A20" i="3" s="1"/>
  <c r="A22" i="3" s="1"/>
  <c r="A24" i="3"/>
  <c r="A25" i="3" s="1"/>
  <c r="A26" i="3" s="1"/>
  <c r="A27" i="3" s="1"/>
  <c r="A28" i="3" s="1"/>
  <c r="A29" i="3" s="1"/>
  <c r="A30" i="3" s="1"/>
  <c r="A33" i="3"/>
  <c r="A39" i="3" l="1"/>
  <c r="A34" i="3"/>
  <c r="A35" i="3" s="1"/>
  <c r="A36" i="3" s="1"/>
  <c r="A37" i="3" s="1"/>
  <c r="A40" i="3" l="1"/>
  <c r="A41" i="3" s="1"/>
  <c r="A42" i="3" s="1"/>
  <c r="A43" i="3" s="1"/>
  <c r="A44" i="3" s="1"/>
  <c r="A46" i="3" s="1"/>
  <c r="A48" i="3" s="1"/>
  <c r="A50" i="3" s="1"/>
  <c r="A54" i="3"/>
  <c r="A60" i="3" l="1"/>
  <c r="A55" i="3"/>
  <c r="A56" i="3" s="1"/>
  <c r="A57" i="3" s="1"/>
  <c r="A58" i="3" s="1"/>
  <c r="A69" i="3" l="1"/>
  <c r="A70" i="3" s="1"/>
  <c r="A61" i="3"/>
  <c r="A62" i="3" s="1"/>
  <c r="A63" i="3" s="1"/>
  <c r="A64" i="3" s="1"/>
  <c r="A66" i="3" s="1"/>
  <c r="A67" i="3" s="1"/>
</calcChain>
</file>

<file path=xl/sharedStrings.xml><?xml version="1.0" encoding="utf-8"?>
<sst xmlns="http://schemas.openxmlformats.org/spreadsheetml/2006/main" count="208" uniqueCount="181">
  <si>
    <t>Instructions</t>
  </si>
  <si>
    <t>Sheet contains the financial statements of Apple Inc. extracted from the most recent annual report:</t>
  </si>
  <si>
    <t>https://investor.apple.com/investor-relations/default.aspx</t>
  </si>
  <si>
    <t>You are required to perform a ratio analysis in excel using the information provided from this financial statements</t>
  </si>
  <si>
    <t>The ratios that should be calculated are listed in the ratios tab</t>
  </si>
  <si>
    <t>In addition to the above, you are required to calculate the growth rates for the following:</t>
  </si>
  <si>
    <t>Sales (each category and net sales)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</si>
  <si>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</si>
  <si>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</si>
  <si>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</si>
  <si>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</si>
  <si>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COGS (Cost of goods sold)</t>
  </si>
  <si>
    <t>Operating income</t>
  </si>
  <si>
    <t>Net profit</t>
  </si>
  <si>
    <t>You are required to calculate the following additional items</t>
  </si>
  <si>
    <t>Income tax rate</t>
  </si>
  <si>
    <t>Capex as a percentage of sales</t>
  </si>
  <si>
    <t>Capex as a percentage of fixed assets</t>
  </si>
  <si>
    <t>* Market information like share price should be obtained from bloomberg.com from the particular day's closing price</t>
  </si>
  <si>
    <t>https://www.bloomberg.com/quote/AAPL:US</t>
  </si>
  <si>
    <t>All of the above ratios should be calculated in the "List of Ratios" tab</t>
  </si>
  <si>
    <t>Apple Inc.</t>
  </si>
  <si>
    <t>(In millions, except number of shares which are reflected in thousands and per share amounts)</t>
  </si>
  <si>
    <t>CONSOLIDATED STATEMENTS OF OPERATIONS</t>
  </si>
  <si>
    <t>Years ended September,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</si>
  <si>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</si>
  <si>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</si>
  <si>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</si>
  <si>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</si>
  <si>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</si>
  <si>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</si>
  <si>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</si>
  <si>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</si>
  <si>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</si>
  <si>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</si>
  <si>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</si>
  <si>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</si>
  <si>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</si>
  <si>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</si>
  <si>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</si>
  <si>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</si>
  <si>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</si>
  <si>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</si>
  <si>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</si>
  <si>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CONSOLIDATED BALANCE SHEETS</t>
  </si>
  <si>
    <t>As at September,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</si>
  <si>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</si>
  <si>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</si>
  <si>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</si>
  <si>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</si>
  <si>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</si>
  <si>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</si>
  <si>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</si>
  <si>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</si>
  <si>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</si>
  <si>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</si>
  <si>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</si>
  <si>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</si>
  <si>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</si>
  <si>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</si>
  <si>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</si>
  <si>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</si>
  <si>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</si>
  <si>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</si>
  <si>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</si>
  <si>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</si>
  <si>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</si>
  <si>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</si>
  <si>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</si>
  <si>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</si>
  <si>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</si>
  <si>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</si>
  <si>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</si>
  <si>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</si>
  <si>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</si>
  <si>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</si>
  <si>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</si>
  <si>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</si>
  <si>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</si>
  <si>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</si>
  <si>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</si>
  <si>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</si>
  <si>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</si>
  <si>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</si>
  <si>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</si>
  <si>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</si>
  <si>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</si>
  <si>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</si>
  <si>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</si>
  <si>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</si>
  <si>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</si>
  <si>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</si>
  <si>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</si>
  <si>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</si>
  <si>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</si>
  <si>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</si>
  <si>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</si>
  <si>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</si>
  <si>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</si>
  <si>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</si>
  <si>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</si>
  <si>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</si>
  <si>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</si>
  <si>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</si>
  <si>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</si>
  <si>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</si>
  <si>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</si>
  <si>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</si>
  <si>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</si>
  <si>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</si>
  <si>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</si>
  <si>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</si>
  <si>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</si>
  <si>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</si>
  <si>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</si>
  <si>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</si>
  <si>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</si>
  <si>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</si>
  <si>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</si>
  <si>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</si>
  <si>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</si>
  <si>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</si>
  <si>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</si>
  <si>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</si>
  <si>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</si>
  <si>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</si>
  <si>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</si>
  <si>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</si>
  <si>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</si>
  <si>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</si>
  <si>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</si>
  <si>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</si>
  <si>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n/a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</si>
  <si>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</si>
  <si>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</si>
  <si>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</si>
  <si>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</si>
  <si>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</si>
  <si>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</si>
  <si>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</si>
  <si>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Share price = 233.67 at time of completion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</si>
  <si>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</si>
  <si>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</si>
  <si>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</si>
  <si>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</si>
  <si>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</si>
  <si>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</si>
  <si>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</si>
  <si>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</si>
  <si>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</si>
  <si>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</si>
  <si>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</si>
  <si>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Market Cap</t>
  </si>
  <si>
    <t>Growth Rates - Income Statement</t>
  </si>
  <si>
    <t>Sales</t>
  </si>
  <si>
    <t>Gross Profit</t>
  </si>
  <si>
    <t>R&amp;D</t>
  </si>
  <si>
    <t>SG&amp;A</t>
  </si>
  <si>
    <t>Growth Rates - Balance Sheet. Assets</t>
  </si>
  <si>
    <t>Cash &amp; Cash Eqv</t>
  </si>
  <si>
    <t>Marketable Securities</t>
  </si>
  <si>
    <t>Accounts Recievable</t>
  </si>
  <si>
    <t>Inventory</t>
  </si>
  <si>
    <t>Marketable Securities, Non-Current</t>
  </si>
  <si>
    <t>PP&amp;E</t>
  </si>
  <si>
    <t>Growth Rates - Balance Sheet. Liabilities</t>
  </si>
  <si>
    <t>Accounts Payable</t>
  </si>
  <si>
    <t>Accured Liabilities</t>
  </si>
  <si>
    <t>Short Term Debt</t>
  </si>
  <si>
    <t>Long Term Debt</t>
  </si>
  <si>
    <t>Growth Rates - Balance Sheet. Equity</t>
  </si>
  <si>
    <t>Common Stock</t>
  </si>
  <si>
    <t>Retained Earnings</t>
  </si>
  <si>
    <t>Accumulated Other Comprehensive Inc/(Loss)</t>
  </si>
  <si>
    <t>Margins % of Sales</t>
  </si>
  <si>
    <t>COGs</t>
  </si>
  <si>
    <t>Operating Income</t>
  </si>
  <si>
    <t>Net Profit</t>
  </si>
  <si>
    <t>Income Tax Rate</t>
  </si>
  <si>
    <t>Capex % of Sales</t>
  </si>
  <si>
    <t>Capex % of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</si>
</sst>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2" fontId="0" fillId="0" borderId="0" xfId="0" applyNumberFormat="1"/>
    <xf numFmtId="167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34" sqref="A34"/>
    </sheetView>
  </sheetViews>
  <sheetFormatPr defaultRowHeight="15" x14ac:dyDescent="0.25"/>
  <cols>
    <col min="1" max="1" width="104.5703125" customWidth="1"/>
  </cols>
  <sheetData>
    <row r="1" spans="1:1" ht="23.25" x14ac:dyDescent="0.35">
      <c r="A1" s="5" t="s">
        <v>0</v>
      </c>
    </row>
    <row r="3" spans="1:1" x14ac:dyDescent="0.25">
      <c r="A3" s="7" t="s">
        <v>1</v>
      </c>
    </row>
    <row r="4" spans="1:1" x14ac:dyDescent="0.25">
      <c r="A4" s="16" t="s">
        <v>2</v>
      </c>
    </row>
    <row r="5" spans="1:1" x14ac:dyDescent="0.25">
      <c r="A5" s="7" t="s">
        <v>3</v>
      </c>
    </row>
    <row r="6" spans="1:1" x14ac:dyDescent="0.25">
      <c r="A6" s="1" t="s">
        <v>4</v>
      </c>
    </row>
    <row r="7" spans="1:1" x14ac:dyDescent="0.25">
      <c r="A7" s="1"/>
    </row>
    <row r="8" spans="1:1" x14ac:dyDescent="0.25">
      <c r="A8" s="17" t="s">
        <v>5</v>
      </c>
    </row>
    <row r="9" spans="1:1" x14ac:dyDescent="0.25">
      <c r="A9" s="1" t="s">
        <v>6</v>
      </c>
    </row>
    <row r="10" spans="1:1" x14ac:dyDescent="0.25">
      <c r="A10" s="1" t="s">
        <v>7</v>
      </c>
    </row>
    <row r="11" spans="1:1" x14ac:dyDescent="0.25">
      <c r="A11" s="1" t="s">
        <v>8</v>
      </c>
    </row>
    <row r="12" spans="1:1" x14ac:dyDescent="0.25">
      <c r="A12" s="1" t="s">
        <v>9</v>
      </c>
    </row>
    <row r="13" spans="1:1" x14ac:dyDescent="0.25">
      <c r="A13" s="1"/>
    </row>
    <row r="14" spans="1:1" x14ac:dyDescent="0.25">
      <c r="A14" s="17" t="s">
        <v>10</v>
      </c>
    </row>
    <row r="15" spans="1:1" x14ac:dyDescent="0.25">
      <c r="A15" s="1" t="s">
        <v>11</v>
      </c>
    </row>
    <row r="16" spans="1:1" x14ac:dyDescent="0.25">
      <c r="A16" s="1" t="s">
        <v>7</v>
      </c>
    </row>
    <row r="17" spans="1:1" x14ac:dyDescent="0.25">
      <c r="A17" s="1" t="s">
        <v>8</v>
      </c>
    </row>
    <row r="18" spans="1:1" x14ac:dyDescent="0.25">
      <c r="A18" s="1" t="s">
        <v>12</v>
      </c>
    </row>
    <row r="19" spans="1:1" x14ac:dyDescent="0.25">
      <c r="A19" s="1" t="s">
        <v>13</v>
      </c>
    </row>
    <row r="20" spans="1:1" x14ac:dyDescent="0.25">
      <c r="A20" s="1"/>
    </row>
    <row r="21" spans="1:1" x14ac:dyDescent="0.25">
      <c r="A21" s="17" t="s">
        <v>14</v>
      </c>
    </row>
    <row r="22" spans="1:1" x14ac:dyDescent="0.25">
      <c r="A22" s="1" t="s">
        <v>15</v>
      </c>
    </row>
    <row r="23" spans="1:1" x14ac:dyDescent="0.25">
      <c r="A23" s="1" t="s">
        <v>16</v>
      </c>
    </row>
    <row r="24" spans="1:1" x14ac:dyDescent="0.25">
      <c r="A24" s="1" t="s">
        <v>17</v>
      </c>
    </row>
    <row r="25" spans="1:1" x14ac:dyDescent="0.25">
      <c r="A25" s="1"/>
    </row>
    <row r="26" spans="1:1" x14ac:dyDescent="0.25">
      <c r="A26" s="17" t="s">
        <v>18</v>
      </c>
    </row>
    <row r="27" spans="1:1" x14ac:dyDescent="0.25">
      <c r="A27" s="16" t="s">
        <v>19</v>
      </c>
    </row>
    <row r="29" spans="1:1" x14ac:dyDescent="0.25">
      <c r="A29" s="7" t="s">
        <v>20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29" workbookViewId="0">
      <selection activeCell="A24" sqref="A24"/>
    </sheetView>
  </sheetViews>
  <sheetFormatPr defaultRowHeight="15" x14ac:dyDescent="0.25"/>
  <cols>
    <col min="1" max="1" width="59" customWidth="1"/>
    <col min="2" max="3" width="11.5703125" bestFit="1" customWidth="1"/>
    <col min="4" max="4" width="11.7109375" bestFit="1" customWidth="1"/>
  </cols>
  <sheetData>
    <row r="1" spans="1:10" ht="60" customHeight="1" x14ac:dyDescent="0.25">
      <c r="A1" s="6" t="s">
        <v>21</v>
      </c>
      <c r="B1" s="4" t="s">
        <v>22</v>
      </c>
      <c r="C1" s="4"/>
      <c r="D1" s="4"/>
      <c r="E1" s="4"/>
      <c r="F1" s="4"/>
      <c r="G1" s="4"/>
      <c r="H1" s="4"/>
      <c r="I1" s="4"/>
      <c r="J1" s="4"/>
    </row>
    <row r="2" spans="1:10" x14ac:dyDescent="0.25">
      <c r="A2" s="27" t="s">
        <v>23</v>
      </c>
      <c r="B2" s="27"/>
      <c r="C2" s="27"/>
      <c r="D2" s="27"/>
    </row>
    <row r="3" spans="1:10" x14ac:dyDescent="0.25">
      <c r="B3" s="26" t="s">
        <v>24</v>
      </c>
      <c r="C3" s="26"/>
      <c r="D3" s="26"/>
    </row>
    <row r="4" spans="1:10" x14ac:dyDescent="0.25">
      <c r="B4" s="7">
        <v>2022</v>
      </c>
      <c r="C4" s="7">
        <v>2021</v>
      </c>
      <c r="D4" s="7">
        <v>2020</v>
      </c>
    </row>
    <row r="5" spans="1:10" x14ac:dyDescent="0.25">
      <c r="A5" t="s">
        <v>25</v>
      </c>
    </row>
    <row r="6" spans="1:10" x14ac:dyDescent="0.25">
      <c r="A6" s="1" t="s">
        <v>26</v>
      </c>
      <c r="B6" s="12">
        <v>316199</v>
      </c>
      <c r="C6" s="12">
        <v>297392</v>
      </c>
      <c r="D6" s="12">
        <v>220747</v>
      </c>
    </row>
    <row r="7" spans="1:10" x14ac:dyDescent="0.25">
      <c r="A7" s="1" t="s">
        <v>27</v>
      </c>
      <c r="B7" s="12">
        <v>78129</v>
      </c>
      <c r="C7" s="12">
        <v>68425</v>
      </c>
      <c r="D7" s="12">
        <v>53768</v>
      </c>
    </row>
    <row r="8" spans="1:10" x14ac:dyDescent="0.25">
      <c r="A8" s="8" t="s">
        <v>28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5">
      <c r="A9" t="s">
        <v>29</v>
      </c>
      <c r="B9" s="12"/>
      <c r="C9" s="12"/>
      <c r="D9" s="12"/>
    </row>
    <row r="10" spans="1:10" x14ac:dyDescent="0.25">
      <c r="A10" s="1" t="s">
        <v>26</v>
      </c>
      <c r="B10" s="12">
        <v>201471</v>
      </c>
      <c r="C10" s="12">
        <v>192266</v>
      </c>
      <c r="D10" s="12">
        <v>151286</v>
      </c>
    </row>
    <row r="11" spans="1:10" x14ac:dyDescent="0.25">
      <c r="A11" s="1" t="s">
        <v>27</v>
      </c>
      <c r="B11" s="12">
        <v>22075</v>
      </c>
      <c r="C11" s="12">
        <v>20715</v>
      </c>
      <c r="D11" s="12">
        <v>18273</v>
      </c>
    </row>
    <row r="12" spans="1:10" x14ac:dyDescent="0.25">
      <c r="A12" s="8" t="s">
        <v>30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5">
      <c r="A13" s="8" t="s">
        <v>31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5">
      <c r="A14" t="s">
        <v>32</v>
      </c>
      <c r="B14" s="12"/>
      <c r="C14" s="12"/>
      <c r="D14" s="12"/>
    </row>
    <row r="15" spans="1:10" x14ac:dyDescent="0.25">
      <c r="A15" s="1" t="s">
        <v>33</v>
      </c>
      <c r="B15" s="12">
        <v>26251</v>
      </c>
      <c r="C15" s="12">
        <v>21914</v>
      </c>
      <c r="D15" s="12">
        <v>18752</v>
      </c>
    </row>
    <row r="16" spans="1:10" x14ac:dyDescent="0.25">
      <c r="A16" s="1" t="s">
        <v>34</v>
      </c>
      <c r="B16" s="12">
        <v>25094</v>
      </c>
      <c r="C16" s="12">
        <v>21973</v>
      </c>
      <c r="D16" s="12">
        <v>19916</v>
      </c>
    </row>
    <row r="17" spans="1:4" x14ac:dyDescent="0.25">
      <c r="A17" s="8" t="s">
        <v>35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25">
      <c r="A18" s="8" t="s">
        <v>12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5">
      <c r="A19" t="s">
        <v>36</v>
      </c>
      <c r="B19" s="12">
        <v>-334</v>
      </c>
      <c r="C19" s="12">
        <v>258</v>
      </c>
      <c r="D19" s="12">
        <v>803</v>
      </c>
    </row>
    <row r="20" spans="1:4" x14ac:dyDescent="0.25">
      <c r="A20" s="8" t="s">
        <v>37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5">
      <c r="A21" t="s">
        <v>38</v>
      </c>
      <c r="B21" s="12">
        <v>19300</v>
      </c>
      <c r="C21" s="12">
        <v>14527</v>
      </c>
      <c r="D21" s="12">
        <v>9680</v>
      </c>
    </row>
    <row r="22" spans="1:4" ht="15.75" thickBot="1" x14ac:dyDescent="0.3">
      <c r="A22" s="9" t="s">
        <v>39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5.75" thickTop="1" x14ac:dyDescent="0.25">
      <c r="A23" t="s">
        <v>40</v>
      </c>
    </row>
    <row r="24" spans="1:4" x14ac:dyDescent="0.25">
      <c r="A24" s="1" t="s">
        <v>41</v>
      </c>
      <c r="B24" s="10">
        <v>6.15</v>
      </c>
      <c r="C24" s="10">
        <v>5.67</v>
      </c>
      <c r="D24" s="10">
        <v>3.31</v>
      </c>
    </row>
    <row r="25" spans="1:4" x14ac:dyDescent="0.25">
      <c r="A25" s="1" t="s">
        <v>42</v>
      </c>
      <c r="B25" s="10">
        <v>6.11</v>
      </c>
      <c r="C25" s="10">
        <v>5.61</v>
      </c>
      <c r="D25" s="10">
        <v>3.28</v>
      </c>
    </row>
    <row r="26" spans="1:4" x14ac:dyDescent="0.25">
      <c r="A26" t="s">
        <v>43</v>
      </c>
    </row>
    <row r="27" spans="1:4" x14ac:dyDescent="0.25">
      <c r="A27" s="1" t="s">
        <v>41</v>
      </c>
      <c r="B27" s="2">
        <v>16215963</v>
      </c>
      <c r="C27" s="2">
        <v>16701272</v>
      </c>
      <c r="D27" s="2">
        <v>17352119</v>
      </c>
    </row>
    <row r="28" spans="1:4" x14ac:dyDescent="0.25">
      <c r="A28" s="1" t="s">
        <v>42</v>
      </c>
      <c r="B28" s="2">
        <v>16325819</v>
      </c>
      <c r="C28" s="2">
        <v>16864919</v>
      </c>
      <c r="D28" s="2">
        <v>17528214</v>
      </c>
    </row>
    <row r="31" spans="1:4" x14ac:dyDescent="0.25">
      <c r="A31" s="27" t="s">
        <v>44</v>
      </c>
      <c r="B31" s="27"/>
      <c r="C31" s="27"/>
      <c r="D31" s="27"/>
    </row>
    <row r="32" spans="1:4" x14ac:dyDescent="0.25">
      <c r="B32" s="26" t="s">
        <v>45</v>
      </c>
      <c r="C32" s="26"/>
      <c r="D32" s="26"/>
    </row>
    <row r="33" spans="1:4" x14ac:dyDescent="0.25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5">
      <c r="A35" t="s">
        <v>46</v>
      </c>
    </row>
    <row r="36" spans="1:4" x14ac:dyDescent="0.25">
      <c r="A36" s="1" t="s">
        <v>47</v>
      </c>
      <c r="B36" s="12">
        <v>23646</v>
      </c>
      <c r="C36" s="12">
        <v>34940</v>
      </c>
      <c r="D36" s="12">
        <v>38016</v>
      </c>
    </row>
    <row r="37" spans="1:4" x14ac:dyDescent="0.25">
      <c r="A37" s="1" t="s">
        <v>48</v>
      </c>
      <c r="B37" s="12">
        <v>24658</v>
      </c>
      <c r="C37" s="12">
        <v>27699</v>
      </c>
      <c r="D37" s="12">
        <v>52927</v>
      </c>
    </row>
    <row r="38" spans="1:4" x14ac:dyDescent="0.25">
      <c r="A38" s="1" t="s">
        <v>49</v>
      </c>
      <c r="B38" s="12">
        <v>28184</v>
      </c>
      <c r="C38" s="12">
        <v>26278</v>
      </c>
      <c r="D38" s="12">
        <v>16120</v>
      </c>
    </row>
    <row r="39" spans="1:4" x14ac:dyDescent="0.25">
      <c r="A39" s="1" t="s">
        <v>50</v>
      </c>
      <c r="B39" s="12">
        <v>4946</v>
      </c>
      <c r="C39" s="12">
        <v>6580</v>
      </c>
      <c r="D39" s="12">
        <v>4061</v>
      </c>
    </row>
    <row r="40" spans="1:4" x14ac:dyDescent="0.25">
      <c r="A40" s="1" t="s">
        <v>51</v>
      </c>
      <c r="B40" s="12">
        <v>32748</v>
      </c>
      <c r="C40" s="12">
        <v>25228</v>
      </c>
      <c r="D40" s="12">
        <v>21325</v>
      </c>
    </row>
    <row r="41" spans="1:4" x14ac:dyDescent="0.25">
      <c r="A41" s="1" t="s">
        <v>52</v>
      </c>
      <c r="B41" s="12">
        <v>21223</v>
      </c>
      <c r="C41" s="12">
        <v>14111</v>
      </c>
      <c r="D41" s="12">
        <v>11264</v>
      </c>
    </row>
    <row r="42" spans="1:4" x14ac:dyDescent="0.25">
      <c r="A42" s="8" t="s">
        <v>53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5">
      <c r="A43" t="s">
        <v>54</v>
      </c>
      <c r="B43" s="12"/>
      <c r="C43" s="12"/>
      <c r="D43" s="12"/>
    </row>
    <row r="44" spans="1:4" x14ac:dyDescent="0.25">
      <c r="A44" s="1" t="s">
        <v>48</v>
      </c>
      <c r="B44" s="12">
        <v>120805</v>
      </c>
      <c r="C44" s="12">
        <v>127877</v>
      </c>
      <c r="D44" s="12">
        <v>100887</v>
      </c>
    </row>
    <row r="45" spans="1:4" x14ac:dyDescent="0.25">
      <c r="A45" s="1" t="s">
        <v>55</v>
      </c>
      <c r="B45" s="12">
        <v>42117</v>
      </c>
      <c r="C45" s="12">
        <v>39440</v>
      </c>
      <c r="D45" s="12">
        <v>36766</v>
      </c>
    </row>
    <row r="46" spans="1:4" x14ac:dyDescent="0.25">
      <c r="A46" s="1" t="s">
        <v>56</v>
      </c>
      <c r="B46" s="12">
        <v>54428</v>
      </c>
      <c r="C46" s="12">
        <v>48849</v>
      </c>
      <c r="D46" s="12">
        <v>42522</v>
      </c>
    </row>
    <row r="47" spans="1:4" x14ac:dyDescent="0.25">
      <c r="A47" s="8" t="s">
        <v>57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5.75" thickBot="1" x14ac:dyDescent="0.3">
      <c r="A48" s="9" t="s">
        <v>58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5.75" thickTop="1" x14ac:dyDescent="0.25"/>
    <row r="50" spans="1:4" x14ac:dyDescent="0.25">
      <c r="A50" t="s">
        <v>59</v>
      </c>
    </row>
    <row r="51" spans="1:4" x14ac:dyDescent="0.25">
      <c r="A51" s="1" t="s">
        <v>60</v>
      </c>
      <c r="B51" s="12">
        <v>64115</v>
      </c>
      <c r="C51" s="12">
        <v>54763</v>
      </c>
      <c r="D51" s="12">
        <v>42296</v>
      </c>
    </row>
    <row r="52" spans="1:4" x14ac:dyDescent="0.25">
      <c r="A52" s="1" t="s">
        <v>61</v>
      </c>
      <c r="B52" s="12">
        <v>60845</v>
      </c>
      <c r="C52" s="12">
        <v>47493</v>
      </c>
      <c r="D52" s="12">
        <v>42684</v>
      </c>
    </row>
    <row r="53" spans="1:4" x14ac:dyDescent="0.25">
      <c r="A53" s="1" t="s">
        <v>62</v>
      </c>
      <c r="B53" s="12">
        <v>7912</v>
      </c>
      <c r="C53" s="12">
        <v>7612</v>
      </c>
      <c r="D53" s="12">
        <v>6643</v>
      </c>
    </row>
    <row r="54" spans="1:4" x14ac:dyDescent="0.25">
      <c r="A54" s="1" t="s">
        <v>63</v>
      </c>
      <c r="B54" s="12">
        <v>9982</v>
      </c>
      <c r="C54" s="12">
        <v>6000</v>
      </c>
      <c r="D54" s="12">
        <v>4996</v>
      </c>
    </row>
    <row r="55" spans="1:4" x14ac:dyDescent="0.25">
      <c r="A55" s="1" t="s">
        <v>64</v>
      </c>
      <c r="B55" s="12">
        <v>11128</v>
      </c>
      <c r="C55" s="12">
        <v>9613</v>
      </c>
      <c r="D55" s="12">
        <v>8773</v>
      </c>
    </row>
    <row r="56" spans="1:4" x14ac:dyDescent="0.25">
      <c r="A56" s="8" t="s">
        <v>65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5">
      <c r="A57" t="s">
        <v>66</v>
      </c>
      <c r="B57" s="12"/>
      <c r="C57" s="12"/>
      <c r="D57" s="12"/>
    </row>
    <row r="58" spans="1:4" x14ac:dyDescent="0.25">
      <c r="A58" s="1" t="s">
        <v>62</v>
      </c>
      <c r="B58" s="12"/>
      <c r="C58" s="12"/>
      <c r="D58" s="12"/>
    </row>
    <row r="59" spans="1:4" x14ac:dyDescent="0.25">
      <c r="A59" s="1" t="s">
        <v>64</v>
      </c>
      <c r="B59" s="12">
        <v>98959</v>
      </c>
      <c r="C59" s="12">
        <v>109106</v>
      </c>
      <c r="D59" s="12">
        <v>98667</v>
      </c>
    </row>
    <row r="60" spans="1:4" x14ac:dyDescent="0.25">
      <c r="A60" s="1" t="s">
        <v>67</v>
      </c>
      <c r="B60" s="12">
        <v>49142</v>
      </c>
      <c r="C60" s="12">
        <v>53325</v>
      </c>
      <c r="D60" s="12">
        <v>54490</v>
      </c>
    </row>
    <row r="61" spans="1:4" x14ac:dyDescent="0.25">
      <c r="A61" s="22" t="s">
        <v>68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25">
      <c r="A62" s="8" t="s">
        <v>69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5">
      <c r="B63" s="12"/>
      <c r="C63" s="12"/>
      <c r="D63" s="12"/>
    </row>
    <row r="64" spans="1:4" x14ac:dyDescent="0.25">
      <c r="A64" t="s">
        <v>70</v>
      </c>
      <c r="B64" s="12"/>
      <c r="C64" s="12"/>
      <c r="D64" s="12"/>
    </row>
    <row r="65" spans="1:4" x14ac:dyDescent="0.25">
      <c r="A65" s="1" t="s">
        <v>71</v>
      </c>
      <c r="B65" s="12">
        <v>64849</v>
      </c>
      <c r="C65" s="12">
        <v>57365</v>
      </c>
      <c r="D65" s="12">
        <v>50779</v>
      </c>
    </row>
    <row r="66" spans="1:4" x14ac:dyDescent="0.25">
      <c r="A66" s="1" t="s">
        <v>72</v>
      </c>
      <c r="B66" s="12">
        <v>-3068</v>
      </c>
      <c r="C66" s="12">
        <v>5562</v>
      </c>
      <c r="D66" s="12">
        <v>14966</v>
      </c>
    </row>
    <row r="67" spans="1:4" x14ac:dyDescent="0.25">
      <c r="A67" s="1" t="s">
        <v>73</v>
      </c>
      <c r="B67" s="12">
        <v>-11109</v>
      </c>
      <c r="C67" s="12">
        <v>163</v>
      </c>
      <c r="D67" s="12">
        <v>-406</v>
      </c>
    </row>
    <row r="68" spans="1:4" x14ac:dyDescent="0.25">
      <c r="A68" s="8" t="s">
        <v>74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5.75" thickBot="1" x14ac:dyDescent="0.3">
      <c r="A69" s="9" t="s">
        <v>75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5.75" thickTop="1" x14ac:dyDescent="0.25"/>
    <row r="71" spans="1:4" x14ac:dyDescent="0.25">
      <c r="A71" s="27" t="s">
        <v>76</v>
      </c>
      <c r="B71" s="27"/>
      <c r="C71" s="27"/>
      <c r="D71" s="27"/>
    </row>
    <row r="72" spans="1:4" x14ac:dyDescent="0.25">
      <c r="B72" s="26" t="s">
        <v>24</v>
      </c>
      <c r="C72" s="26"/>
      <c r="D72" s="26"/>
    </row>
    <row r="73" spans="1:4" x14ac:dyDescent="0.25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5">
      <c r="A75" s="7" t="s">
        <v>77</v>
      </c>
      <c r="B75" s="15"/>
      <c r="C75" s="15"/>
      <c r="D75" s="15"/>
    </row>
    <row r="76" spans="1:4" x14ac:dyDescent="0.25">
      <c r="A76" t="s">
        <v>78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5">
      <c r="A77" s="11" t="s">
        <v>39</v>
      </c>
      <c r="B77" s="15"/>
      <c r="C77" s="15"/>
      <c r="D77" s="15"/>
    </row>
    <row r="78" spans="1:4" x14ac:dyDescent="0.25">
      <c r="A78" s="1" t="s">
        <v>79</v>
      </c>
      <c r="B78" s="12"/>
      <c r="C78" s="12"/>
      <c r="D78" s="12"/>
    </row>
    <row r="79" spans="1:4" x14ac:dyDescent="0.25">
      <c r="A79" s="3" t="s">
        <v>80</v>
      </c>
      <c r="B79" s="12">
        <v>11104</v>
      </c>
      <c r="C79" s="12">
        <v>11284</v>
      </c>
      <c r="D79" s="12">
        <v>11056</v>
      </c>
    </row>
    <row r="80" spans="1:4" x14ac:dyDescent="0.25">
      <c r="A80" s="3" t="s">
        <v>81</v>
      </c>
      <c r="B80" s="12">
        <v>9038</v>
      </c>
      <c r="C80" s="12">
        <v>7906</v>
      </c>
      <c r="D80" s="12">
        <v>6829</v>
      </c>
    </row>
    <row r="81" spans="1:4" x14ac:dyDescent="0.25">
      <c r="A81" s="3" t="s">
        <v>82</v>
      </c>
      <c r="B81" s="12">
        <v>895</v>
      </c>
      <c r="C81" s="12">
        <v>-4774</v>
      </c>
      <c r="D81" s="12">
        <v>-215</v>
      </c>
    </row>
    <row r="82" spans="1:4" x14ac:dyDescent="0.25">
      <c r="A82" s="3" t="s">
        <v>83</v>
      </c>
      <c r="B82" s="12">
        <v>111</v>
      </c>
      <c r="C82" s="12">
        <v>-147</v>
      </c>
      <c r="D82" s="12">
        <v>-97</v>
      </c>
    </row>
    <row r="83" spans="1:4" x14ac:dyDescent="0.25">
      <c r="A83" t="s">
        <v>84</v>
      </c>
      <c r="B83" s="12"/>
      <c r="C83" s="12"/>
      <c r="D83" s="12"/>
    </row>
    <row r="84" spans="1:4" x14ac:dyDescent="0.25">
      <c r="A84" s="1" t="s">
        <v>49</v>
      </c>
      <c r="B84" s="12">
        <v>-1823</v>
      </c>
      <c r="C84" s="12">
        <v>-10125</v>
      </c>
      <c r="D84" s="12">
        <v>6917</v>
      </c>
    </row>
    <row r="85" spans="1:4" x14ac:dyDescent="0.25">
      <c r="A85" s="1" t="s">
        <v>50</v>
      </c>
      <c r="B85" s="12">
        <v>1484</v>
      </c>
      <c r="C85" s="12">
        <v>-2642</v>
      </c>
      <c r="D85" s="12">
        <v>-127</v>
      </c>
    </row>
    <row r="86" spans="1:4" x14ac:dyDescent="0.25">
      <c r="A86" s="1" t="s">
        <v>51</v>
      </c>
      <c r="B86" s="12">
        <v>-7520</v>
      </c>
      <c r="C86" s="12">
        <v>-3903</v>
      </c>
      <c r="D86" s="12">
        <v>1553</v>
      </c>
    </row>
    <row r="87" spans="1:4" x14ac:dyDescent="0.25">
      <c r="A87" s="1" t="s">
        <v>85</v>
      </c>
      <c r="B87" s="12">
        <v>-6499</v>
      </c>
      <c r="C87" s="12">
        <v>-8042</v>
      </c>
      <c r="D87" s="12">
        <v>-9588</v>
      </c>
    </row>
    <row r="88" spans="1:4" x14ac:dyDescent="0.25">
      <c r="A88" s="1" t="s">
        <v>60</v>
      </c>
      <c r="B88" s="12">
        <v>9448</v>
      </c>
      <c r="C88" s="12">
        <v>12326</v>
      </c>
      <c r="D88" s="12">
        <v>-4062</v>
      </c>
    </row>
    <row r="89" spans="1:4" x14ac:dyDescent="0.25">
      <c r="A89" s="1" t="s">
        <v>62</v>
      </c>
      <c r="B89" s="12">
        <v>478</v>
      </c>
      <c r="C89" s="12">
        <v>1676</v>
      </c>
      <c r="D89" s="12">
        <v>2081</v>
      </c>
    </row>
    <row r="90" spans="1:4" x14ac:dyDescent="0.25">
      <c r="A90" s="1" t="s">
        <v>86</v>
      </c>
      <c r="B90" s="12">
        <v>5632</v>
      </c>
      <c r="C90" s="12">
        <v>5799</v>
      </c>
      <c r="D90" s="12">
        <v>8916</v>
      </c>
    </row>
    <row r="91" spans="1:4" x14ac:dyDescent="0.25">
      <c r="A91" s="8" t="s">
        <v>87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5">
      <c r="A92" s="7" t="s">
        <v>88</v>
      </c>
      <c r="B92" s="12"/>
      <c r="C92" s="12"/>
      <c r="D92" s="12"/>
    </row>
    <row r="93" spans="1:4" x14ac:dyDescent="0.25">
      <c r="A93" s="1" t="s">
        <v>89</v>
      </c>
      <c r="B93" s="12">
        <v>-76923</v>
      </c>
      <c r="C93" s="12">
        <v>-109558</v>
      </c>
      <c r="D93" s="12">
        <v>-114938</v>
      </c>
    </row>
    <row r="94" spans="1:4" x14ac:dyDescent="0.25">
      <c r="A94" s="1" t="s">
        <v>90</v>
      </c>
      <c r="B94" s="12">
        <v>29917</v>
      </c>
      <c r="C94" s="12">
        <v>59023</v>
      </c>
      <c r="D94" s="12">
        <v>69918</v>
      </c>
    </row>
    <row r="95" spans="1:4" x14ac:dyDescent="0.25">
      <c r="A95" s="1" t="s">
        <v>91</v>
      </c>
      <c r="B95" s="12">
        <v>37446</v>
      </c>
      <c r="C95" s="12">
        <v>47460</v>
      </c>
      <c r="D95" s="12">
        <v>50473</v>
      </c>
    </row>
    <row r="96" spans="1:4" x14ac:dyDescent="0.25">
      <c r="A96" s="1" t="s">
        <v>92</v>
      </c>
      <c r="B96" s="12">
        <v>-10708</v>
      </c>
      <c r="C96" s="12">
        <v>-11085</v>
      </c>
      <c r="D96" s="12">
        <v>-7309</v>
      </c>
    </row>
    <row r="97" spans="1:4" x14ac:dyDescent="0.25">
      <c r="A97" s="1" t="s">
        <v>93</v>
      </c>
      <c r="B97" s="12">
        <v>-306</v>
      </c>
      <c r="C97" s="12">
        <v>-33</v>
      </c>
      <c r="D97" s="12">
        <v>-1524</v>
      </c>
    </row>
    <row r="98" spans="1:4" x14ac:dyDescent="0.25">
      <c r="A98" s="1" t="s">
        <v>83</v>
      </c>
      <c r="B98" s="12">
        <v>-1780</v>
      </c>
      <c r="C98" s="12">
        <v>-352</v>
      </c>
      <c r="D98" s="12">
        <v>-909</v>
      </c>
    </row>
    <row r="99" spans="1:4" x14ac:dyDescent="0.25">
      <c r="A99" s="8" t="s">
        <v>94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5">
      <c r="A100" s="7" t="s">
        <v>95</v>
      </c>
      <c r="B100" s="12"/>
      <c r="C100" s="12"/>
      <c r="D100" s="12"/>
    </row>
    <row r="101" spans="1:4" x14ac:dyDescent="0.25">
      <c r="A101" s="1" t="s">
        <v>96</v>
      </c>
      <c r="B101" s="12">
        <v>-6223</v>
      </c>
      <c r="C101" s="12">
        <v>-6556</v>
      </c>
      <c r="D101" s="12">
        <v>-3634</v>
      </c>
    </row>
    <row r="102" spans="1:4" x14ac:dyDescent="0.25">
      <c r="A102" s="1" t="s">
        <v>97</v>
      </c>
      <c r="B102" s="12">
        <v>-14841</v>
      </c>
      <c r="C102" s="12">
        <v>-14467</v>
      </c>
      <c r="D102" s="12">
        <v>-14081</v>
      </c>
    </row>
    <row r="103" spans="1:4" x14ac:dyDescent="0.25">
      <c r="A103" s="1" t="s">
        <v>98</v>
      </c>
      <c r="B103" s="12">
        <v>-89402</v>
      </c>
      <c r="C103" s="12">
        <v>-85971</v>
      </c>
      <c r="D103" s="12">
        <v>-72358</v>
      </c>
    </row>
    <row r="104" spans="1:4" x14ac:dyDescent="0.25">
      <c r="A104" s="1" t="s">
        <v>99</v>
      </c>
      <c r="B104" s="12">
        <v>5465</v>
      </c>
      <c r="C104" s="12">
        <v>20393</v>
      </c>
      <c r="D104" s="12">
        <v>16091</v>
      </c>
    </row>
    <row r="105" spans="1:4" x14ac:dyDescent="0.25">
      <c r="A105" s="1" t="s">
        <v>100</v>
      </c>
      <c r="B105" s="12">
        <v>-9543</v>
      </c>
      <c r="C105" s="12">
        <v>-8750</v>
      </c>
      <c r="D105" s="12">
        <v>-12629</v>
      </c>
    </row>
    <row r="106" spans="1:4" x14ac:dyDescent="0.25">
      <c r="A106" s="1" t="s">
        <v>101</v>
      </c>
      <c r="B106" s="12">
        <v>3955</v>
      </c>
      <c r="C106" s="12">
        <v>1022</v>
      </c>
      <c r="D106" s="12">
        <v>-963</v>
      </c>
    </row>
    <row r="107" spans="1:4" x14ac:dyDescent="0.25">
      <c r="A107" s="1" t="s">
        <v>83</v>
      </c>
      <c r="B107" s="12">
        <v>-160</v>
      </c>
      <c r="C107" s="12">
        <v>976</v>
      </c>
      <c r="D107" s="12">
        <v>754</v>
      </c>
    </row>
    <row r="108" spans="1:4" x14ac:dyDescent="0.25">
      <c r="A108" s="8" t="s">
        <v>102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5">
      <c r="A109" s="8" t="s">
        <v>103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5.75" thickBot="1" x14ac:dyDescent="0.3">
      <c r="A110" s="9" t="s">
        <v>104</v>
      </c>
      <c r="B110" s="14">
        <v>24977</v>
      </c>
      <c r="C110" s="14">
        <v>35929</v>
      </c>
      <c r="D110" s="14">
        <v>39789</v>
      </c>
    </row>
    <row r="111" spans="1:4" ht="15.75" thickTop="1" x14ac:dyDescent="0.25">
      <c r="B111" s="12"/>
      <c r="C111" s="12"/>
      <c r="D111" s="12"/>
    </row>
    <row r="112" spans="1:4" x14ac:dyDescent="0.25">
      <c r="A112" t="s">
        <v>105</v>
      </c>
      <c r="B112" s="12"/>
      <c r="C112" s="12"/>
      <c r="D112" s="12"/>
    </row>
    <row r="113" spans="1:4" x14ac:dyDescent="0.25">
      <c r="A113" t="s">
        <v>106</v>
      </c>
      <c r="B113" s="12">
        <v>19573</v>
      </c>
      <c r="C113" s="12">
        <v>25385</v>
      </c>
      <c r="D113" s="12">
        <v>9501</v>
      </c>
    </row>
    <row r="114" spans="1:4" x14ac:dyDescent="0.25">
      <c r="A114" t="s">
        <v>107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tabSelected="1" workbookViewId="0">
      <selection activeCell="D31" sqref="D31"/>
    </sheetView>
  </sheetViews>
  <sheetFormatPr defaultRowHeight="15" x14ac:dyDescent="0.25"/>
  <cols>
    <col min="1" max="1" width="4.7109375" customWidth="1"/>
    <col min="2" max="2" width="44.85546875" customWidth="1"/>
    <col min="3" max="3" width="11.42578125" bestFit="1" customWidth="1"/>
    <col min="4" max="4" width="13.7109375" bestFit="1" customWidth="1"/>
    <col min="5" max="5" width="12.5703125" bestFit="1" customWidth="1"/>
  </cols>
  <sheetData>
    <row r="1" spans="1:10" ht="60" customHeight="1" x14ac:dyDescent="0.4">
      <c r="A1" s="6"/>
      <c r="B1" s="20" t="s">
        <v>21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C2" s="26" t="s">
        <v>24</v>
      </c>
      <c r="D2" s="26"/>
      <c r="E2" s="26"/>
    </row>
    <row r="3" spans="1:10" x14ac:dyDescent="0.25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25">
      <c r="A4" s="18">
        <v>1</v>
      </c>
      <c r="B4" s="7" t="s">
        <v>108</v>
      </c>
    </row>
    <row r="5" spans="1:10" x14ac:dyDescent="0.25">
      <c r="A5" s="18">
        <f>+A4+0.1</f>
        <v>1.1000000000000001</v>
      </c>
      <c r="B5" s="1" t="s">
        <v>109</v>
      </c>
      <c r="C5" s="23">
        <f>'Financial Statements'!B42/'Financial Statements'!B56*100</f>
        <v>87.935602862672255</v>
      </c>
      <c r="D5" s="23">
        <f>'Financial Statements'!C42/'Financial Statements'!C56*100</f>
        <v>107.45531195957953</v>
      </c>
      <c r="E5" s="23">
        <f>'Financial Statements'!D42/'Financial Statements'!D56*100</f>
        <v>136.36044481554578</v>
      </c>
    </row>
    <row r="6" spans="1:10" x14ac:dyDescent="0.25">
      <c r="A6" s="18">
        <f t="shared" ref="A6:A13" si="0">+A5+0.1</f>
        <v>1.2000000000000002</v>
      </c>
      <c r="B6" s="1" t="s">
        <v>110</v>
      </c>
      <c r="C6" s="23">
        <f>('Financial Statements'!B36+'Financial Statements'!B37+'Financial Statements'!B38)/'Financial Statements'!B56*100</f>
        <v>49.673338442155583</v>
      </c>
      <c r="D6" s="23">
        <f>('Financial Statements'!C36+'Financial Statements'!C37+'Financial Statements'!C38)/'Financial Statements'!C56*100</f>
        <v>70.860927152317871</v>
      </c>
      <c r="E6" s="23">
        <f>('Financial Statements'!D36+'Financial Statements'!D37+'Financial Statements'!D38)/'Financial Statements'!D56*100</f>
        <v>101.58550933657204</v>
      </c>
    </row>
    <row r="7" spans="1:10" x14ac:dyDescent="0.25">
      <c r="A7" s="18">
        <f t="shared" si="0"/>
        <v>1.3000000000000003</v>
      </c>
      <c r="B7" s="1" t="s">
        <v>111</v>
      </c>
      <c r="C7" s="23">
        <f>'Financial Statements'!B36/'Financial Statements'!B56*100</f>
        <v>15.356340351469653</v>
      </c>
      <c r="D7" s="23">
        <f>'Financial Statements'!C36/'Financial Statements'!C56*100</f>
        <v>27.844853005634317</v>
      </c>
      <c r="E7" s="23">
        <f>'Financial Statements'!D36/'Financial Statements'!D56*100</f>
        <v>36.071049035979961</v>
      </c>
    </row>
    <row r="8" spans="1:10" x14ac:dyDescent="0.25">
      <c r="A8" s="18">
        <f t="shared" si="0"/>
        <v>1.4000000000000004</v>
      </c>
      <c r="B8" s="1" t="s">
        <v>112</v>
      </c>
      <c r="C8" s="23">
        <f>('Financial Statements'!B36+'Financial Statements'!B37+'Financial Statements'!B38)/('Financial Statements'!B17/365)</f>
        <v>543.73590417762193</v>
      </c>
      <c r="D8" s="23">
        <f>('Financial Statements'!C36+'Financial Statements'!C37+'Financial Statements'!C38)/('Financial Statements'!C17/365)</f>
        <v>739.50611798482464</v>
      </c>
      <c r="E8" s="23">
        <f>('Financial Statements'!D36+'Financial Statements'!D37+'Financial Statements'!D38)/('Financial Statements'!D17/365)</f>
        <v>1010.6029533464364</v>
      </c>
    </row>
    <row r="9" spans="1:10" x14ac:dyDescent="0.25">
      <c r="A9" s="18">
        <f t="shared" si="0"/>
        <v>1.5000000000000004</v>
      </c>
      <c r="B9" s="1" t="s">
        <v>113</v>
      </c>
      <c r="C9" s="23">
        <f>'Financial Statements'!B39/'Financial Statements'!B12*365</f>
        <v>8.0756980666171607</v>
      </c>
      <c r="D9" s="23">
        <f>'Financial Statements'!C39/'Financial Statements'!C12*365</f>
        <v>11.27659274770989</v>
      </c>
      <c r="E9" s="23">
        <f>'Financial Statements'!D39/'Financial Statements'!D12*365</f>
        <v>8.7418833562358831</v>
      </c>
    </row>
    <row r="10" spans="1:10" x14ac:dyDescent="0.25">
      <c r="A10" s="18">
        <f t="shared" si="0"/>
        <v>1.6000000000000005</v>
      </c>
      <c r="B10" s="1" t="s">
        <v>114</v>
      </c>
      <c r="C10" s="23">
        <f>'Financial Statements'!B51/'Financial Statements'!B12*365</f>
        <v>104.68527730310539</v>
      </c>
      <c r="D10" s="23">
        <f>'Financial Statements'!C51/'Financial Statements'!C12*365</f>
        <v>93.851071222315596</v>
      </c>
      <c r="E10" s="23">
        <f>'Financial Statements'!D51/'Financial Statements'!D12*365</f>
        <v>91.048189715674198</v>
      </c>
    </row>
    <row r="11" spans="1:10" x14ac:dyDescent="0.25">
      <c r="A11" s="18">
        <f t="shared" si="0"/>
        <v>1.7000000000000006</v>
      </c>
      <c r="B11" s="1" t="s">
        <v>115</v>
      </c>
      <c r="C11" s="23">
        <f>'Financial Statements'!B38/'Financial Statements'!B8*365</f>
        <v>26.087825363656648</v>
      </c>
      <c r="D11" s="23">
        <f>'Financial Statements'!C38/'Financial Statements'!C8*365</f>
        <v>26.219311841713207</v>
      </c>
      <c r="E11" s="23">
        <f>'Financial Statements'!D38/'Financial Statements'!D8*365</f>
        <v>21.433437152796749</v>
      </c>
    </row>
    <row r="12" spans="1:10" x14ac:dyDescent="0.25">
      <c r="A12" s="18">
        <f t="shared" si="0"/>
        <v>1.8000000000000007</v>
      </c>
      <c r="B12" s="1" t="s">
        <v>116</v>
      </c>
      <c r="C12" s="23">
        <f>C11+C9+-C10</f>
        <v>-70.521753872831582</v>
      </c>
      <c r="D12" s="23">
        <f t="shared" ref="D12:E12" si="1">D11+D9+-D10</f>
        <v>-56.355166632892498</v>
      </c>
      <c r="E12" s="23">
        <f t="shared" si="1"/>
        <v>-60.872869206641568</v>
      </c>
    </row>
    <row r="13" spans="1:10" x14ac:dyDescent="0.25">
      <c r="A13" s="18">
        <f t="shared" si="0"/>
        <v>1.9000000000000008</v>
      </c>
      <c r="B13" s="1" t="s">
        <v>117</v>
      </c>
      <c r="C13" s="23">
        <f>'List of Ratios'!C14/'Financial Statements'!B8*100</f>
        <v>-4.7110527276784806</v>
      </c>
      <c r="D13" s="23">
        <f>'List of Ratios'!D14/'Financial Statements'!C8*100</f>
        <v>2.5572895737486232</v>
      </c>
      <c r="E13" s="23">
        <f>'List of Ratios'!E14/'Financial Statements'!D8*100</f>
        <v>13.959528623208204</v>
      </c>
    </row>
    <row r="14" spans="1:10" x14ac:dyDescent="0.25">
      <c r="A14" s="18"/>
      <c r="B14" s="3" t="s">
        <v>118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</row>
    <row r="15" spans="1:10" x14ac:dyDescent="0.25">
      <c r="A15" s="18"/>
    </row>
    <row r="16" spans="1:10" x14ac:dyDescent="0.25">
      <c r="A16" s="18">
        <f>+A4+1</f>
        <v>2</v>
      </c>
      <c r="B16" s="17" t="s">
        <v>119</v>
      </c>
    </row>
    <row r="17" spans="1:5" x14ac:dyDescent="0.25">
      <c r="A17" s="18">
        <f>+A16+0.1</f>
        <v>2.1</v>
      </c>
      <c r="B17" s="1" t="s">
        <v>31</v>
      </c>
      <c r="C17" s="23">
        <f>'Financial Statements'!B13/'Financial Statements'!B8*100</f>
        <v>43.309630561360088</v>
      </c>
      <c r="D17" s="23">
        <f>'Financial Statements'!C13/'Financial Statements'!C8*100</f>
        <v>41.779359625167778</v>
      </c>
      <c r="E17" s="23">
        <f>'Financial Statements'!D13/'Financial Statements'!D8*100</f>
        <v>38.233247727810863</v>
      </c>
    </row>
    <row r="18" spans="1:5" x14ac:dyDescent="0.25">
      <c r="A18" s="18">
        <f>+A17+0.1</f>
        <v>2.2000000000000002</v>
      </c>
      <c r="B18" s="1" t="s">
        <v>120</v>
      </c>
      <c r="C18" s="23">
        <f>C19/'Financial Statements'!B8*100</f>
        <v>33.104674281308959</v>
      </c>
      <c r="D18" s="23">
        <f>D19/'Financial Statements'!C8*100</f>
        <v>32.86697993805646</v>
      </c>
      <c r="E18" s="23">
        <f>E19/'Financial Statements'!D8*100</f>
        <v>28.174780977360069</v>
      </c>
    </row>
    <row r="19" spans="1:5" x14ac:dyDescent="0.25">
      <c r="A19" s="18"/>
      <c r="B19" s="3" t="s">
        <v>121</v>
      </c>
      <c r="C19">
        <f>'Financial Statements'!B18+'Financial Statements'!B79</f>
        <v>130541</v>
      </c>
      <c r="D19">
        <f>'Financial Statements'!C18+'Financial Statements'!C79</f>
        <v>120233</v>
      </c>
      <c r="E19">
        <f>'Financial Statements'!D18+'Financial Statements'!D79</f>
        <v>77344</v>
      </c>
    </row>
    <row r="20" spans="1:5" x14ac:dyDescent="0.25">
      <c r="A20" s="18">
        <f>+A18+0.1</f>
        <v>2.3000000000000003</v>
      </c>
      <c r="B20" s="1" t="s">
        <v>122</v>
      </c>
      <c r="C20" s="23">
        <f>C21/'Financial Statements'!B8*100</f>
        <v>30.288744395528592</v>
      </c>
      <c r="D20" s="23">
        <f>D21/'Financial Statements'!C8*100</f>
        <v>29.782377527561593</v>
      </c>
      <c r="E20" s="23">
        <f>E21/'Financial Statements'!D8*100</f>
        <v>24.147314354406863</v>
      </c>
    </row>
    <row r="21" spans="1:5" x14ac:dyDescent="0.25">
      <c r="A21" s="18"/>
      <c r="B21" s="3" t="s">
        <v>123</v>
      </c>
      <c r="C21">
        <f>'Financial Statements'!B18</f>
        <v>119437</v>
      </c>
      <c r="D21">
        <f>'Financial Statements'!C18</f>
        <v>108949</v>
      </c>
      <c r="E21">
        <f>'Financial Statements'!D18</f>
        <v>66288</v>
      </c>
    </row>
    <row r="22" spans="1:5" x14ac:dyDescent="0.25">
      <c r="A22" s="18">
        <f>+A20+0.1</f>
        <v>2.4000000000000004</v>
      </c>
      <c r="B22" s="1" t="s">
        <v>124</v>
      </c>
      <c r="C22" s="23">
        <f>'Financial Statements'!B22/'Financial Statements'!B8*100</f>
        <v>25.309640705199733</v>
      </c>
      <c r="D22" s="23">
        <f>'Financial Statements'!C22/'Financial Statements'!C8*100</f>
        <v>25.881793355694239</v>
      </c>
      <c r="E22" s="23">
        <f>'Financial Statements'!D22/'Financial Statements'!D8*100</f>
        <v>20.913611278072235</v>
      </c>
    </row>
    <row r="23" spans="1:5" x14ac:dyDescent="0.25">
      <c r="A23" s="18"/>
    </row>
    <row r="24" spans="1:5" x14ac:dyDescent="0.25">
      <c r="A24" s="18">
        <f>+A16+1</f>
        <v>3</v>
      </c>
      <c r="B24" s="7" t="s">
        <v>125</v>
      </c>
    </row>
    <row r="25" spans="1:5" x14ac:dyDescent="0.25">
      <c r="A25" s="18">
        <f>+A24+0.1</f>
        <v>3.1</v>
      </c>
      <c r="B25" s="1" t="s">
        <v>126</v>
      </c>
      <c r="C25" s="23">
        <f>('Financial Statements'!B55+'Financial Statements'!B59)/'Financial Statements'!B68*100</f>
        <v>217.25410483107041</v>
      </c>
      <c r="D25" s="23">
        <f>('Financial Statements'!C55+'Financial Statements'!C59)/'Financial Statements'!C68*100</f>
        <v>188.1740370898716</v>
      </c>
      <c r="E25" s="23">
        <f>('Financial Statements'!D55+'Financial Statements'!D59)/'Financial Statements'!D68*100</f>
        <v>164.43471739696048</v>
      </c>
    </row>
    <row r="26" spans="1:5" x14ac:dyDescent="0.25">
      <c r="A26" s="18">
        <f t="shared" ref="A26:A30" si="2">+A25+0.1</f>
        <v>3.2</v>
      </c>
      <c r="B26" s="1" t="s">
        <v>127</v>
      </c>
      <c r="C26" s="23">
        <f>('Financial Statements'!B55+'Financial Statements'!B59)/'Financial Statements'!B48*100</f>
        <v>31.207778769967824</v>
      </c>
      <c r="D26" s="23">
        <f>('Financial Statements'!C55+'Financial Statements'!C59)/'Financial Statements'!C48*100</f>
        <v>33.822884200090023</v>
      </c>
      <c r="E26" s="23">
        <f>('Financial Statements'!D55+'Financial Statements'!D59)/'Financial Statements'!D48*100</f>
        <v>33.171960677765156</v>
      </c>
    </row>
    <row r="27" spans="1:5" x14ac:dyDescent="0.25">
      <c r="A27" s="18">
        <f t="shared" si="2"/>
        <v>3.3000000000000003</v>
      </c>
      <c r="B27" s="1" t="s">
        <v>128</v>
      </c>
      <c r="C27" s="23">
        <f>('Financial Statements'!B59)/('Financial Statements'!B59+'Financial Statements'!B68)*100</f>
        <v>66.135359651409132</v>
      </c>
      <c r="D27" s="23">
        <f>('Financial Statements'!C59)/('Financial Statements'!C59+'Financial Statements'!C68)*100</f>
        <v>63.361518269878516</v>
      </c>
      <c r="E27" s="23">
        <f>('Financial Statements'!D59)/('Financial Statements'!D59+'Financial Statements'!D68)*100</f>
        <v>60.160603880345839</v>
      </c>
    </row>
    <row r="28" spans="1:5" x14ac:dyDescent="0.25">
      <c r="A28" s="18">
        <f t="shared" si="2"/>
        <v>3.4000000000000004</v>
      </c>
      <c r="B28" s="1" t="s">
        <v>129</v>
      </c>
      <c r="C28" s="23">
        <f>-'Financial Statements'!B18/'Financial Statements'!B19*100</f>
        <v>35759.580838323353</v>
      </c>
      <c r="D28" s="23">
        <f>'Financial Statements'!C18/'Financial Statements'!C19*100</f>
        <v>42228.294573643412</v>
      </c>
      <c r="E28" s="23">
        <f>'Financial Statements'!D18/'Financial Statements'!D19*100</f>
        <v>8255.0435865504351</v>
      </c>
    </row>
    <row r="29" spans="1:5" x14ac:dyDescent="0.25">
      <c r="A29" s="18">
        <f t="shared" si="2"/>
        <v>3.5000000000000004</v>
      </c>
      <c r="B29" s="1" t="s">
        <v>130</v>
      </c>
      <c r="C29" s="23">
        <f>-'Financial Statements'!B18/'Financial Statements'!B105*100</f>
        <v>1251.5665933144714</v>
      </c>
      <c r="D29" s="23">
        <f>-'Financial Statements'!C18/'Financial Statements'!C105*100</f>
        <v>1245.1314285714286</v>
      </c>
      <c r="E29" s="23">
        <f>-'Financial Statements'!D18/('Financial Statements'!D105+'Financial Statements'!D106)*100</f>
        <v>487.6986462625074</v>
      </c>
    </row>
    <row r="30" spans="1:5" x14ac:dyDescent="0.25">
      <c r="A30" s="18">
        <f t="shared" si="2"/>
        <v>3.6000000000000005</v>
      </c>
      <c r="B30" s="1" t="s">
        <v>131</v>
      </c>
      <c r="C30" s="23">
        <f>C31/'Financial Statements'!B28*1000</f>
        <v>7.5985774434960964</v>
      </c>
      <c r="D30" s="23">
        <f>D31/'Financial Statements'!C28*1000</f>
        <v>8.0337178020244266</v>
      </c>
      <c r="E30" t="s">
        <v>132</v>
      </c>
    </row>
    <row r="31" spans="1:5" x14ac:dyDescent="0.25">
      <c r="A31" s="18"/>
      <c r="B31" s="3" t="s">
        <v>133</v>
      </c>
      <c r="C31">
        <f>'Financial Statements'!B22+'Financial Statements'!B79+'Financial Statements'!B96+'Financial Statements'!B104+'Financial Statements'!B105+(D14-C14)</f>
        <v>124053</v>
      </c>
      <c r="D31">
        <f>'Financial Statements'!C22+'Financial Statements'!C79+'Financial Statements'!C96+'Financial Statements'!C104+'Financial Statements'!C105+(E14-D14)</f>
        <v>135488</v>
      </c>
    </row>
    <row r="32" spans="1:5" x14ac:dyDescent="0.25">
      <c r="A32" s="18"/>
    </row>
    <row r="33" spans="1:5" x14ac:dyDescent="0.25">
      <c r="A33" s="18">
        <f>+A24+1</f>
        <v>4</v>
      </c>
      <c r="B33" s="17" t="s">
        <v>134</v>
      </c>
    </row>
    <row r="34" spans="1:5" x14ac:dyDescent="0.25">
      <c r="A34" s="18">
        <f>+A33+0.1</f>
        <v>4.0999999999999996</v>
      </c>
      <c r="B34" s="1" t="s">
        <v>135</v>
      </c>
      <c r="C34" s="23">
        <f>'Financial Statements'!B8/'Financial Statements'!B48*100</f>
        <v>111.78523337727317</v>
      </c>
      <c r="D34" s="23">
        <f>'Financial Statements'!C8/'Financial Statements'!C48*100</f>
        <v>104.22077367080529</v>
      </c>
      <c r="E34" s="23">
        <f>'Financial Statements'!D8/'Financial Statements'!D48*100</f>
        <v>84.756150274168846</v>
      </c>
    </row>
    <row r="35" spans="1:5" x14ac:dyDescent="0.25">
      <c r="A35" s="18">
        <f t="shared" ref="A35:A37" si="3">+A34+0.1</f>
        <v>4.1999999999999993</v>
      </c>
      <c r="B35" s="1" t="s">
        <v>136</v>
      </c>
      <c r="C35" s="23">
        <f>'Financial Statements'!B8/'Financial Statements'!B45*100</f>
        <v>936.26801529073771</v>
      </c>
      <c r="D35" s="23">
        <f>'Financial Statements'!C8/'Financial Statements'!C45*100</f>
        <v>927.52789046653152</v>
      </c>
      <c r="E35" s="23">
        <f>'Financial Statements'!D8/'Financial Statements'!D45*100</f>
        <v>746.65451776097484</v>
      </c>
    </row>
    <row r="36" spans="1:5" x14ac:dyDescent="0.25">
      <c r="A36" s="18">
        <f t="shared" si="3"/>
        <v>4.2999999999999989</v>
      </c>
      <c r="B36" s="1" t="s">
        <v>137</v>
      </c>
      <c r="C36" s="23">
        <f>'Financial Statements'!B8/'Financial Statements'!B39*100</f>
        <v>7972.6647796198949</v>
      </c>
      <c r="D36" s="23">
        <f>'Financial Statements'!C8/'Financial Statements'!C39*100</f>
        <v>5559.5288753799396</v>
      </c>
      <c r="E36" s="23">
        <f>'Financial Statements'!D8/'Financial Statements'!D39*100</f>
        <v>6759.7882295001227</v>
      </c>
    </row>
    <row r="37" spans="1:5" x14ac:dyDescent="0.25">
      <c r="A37" s="18">
        <f t="shared" si="3"/>
        <v>4.3999999999999986</v>
      </c>
      <c r="B37" s="1" t="s">
        <v>138</v>
      </c>
      <c r="C37" s="23">
        <f>'Financial Statements'!B22/'Financial Statements'!B48*100</f>
        <v>28.292440929256852</v>
      </c>
      <c r="D37" s="23">
        <f>'Financial Statements'!C22/'Financial Statements'!C48*100</f>
        <v>26.974205275183614</v>
      </c>
      <c r="E37" s="23">
        <f>'Financial Statements'!D22/'Financial Statements'!D48*100</f>
        <v>17.725571802598431</v>
      </c>
    </row>
    <row r="38" spans="1:5" x14ac:dyDescent="0.25">
      <c r="A38" s="18"/>
    </row>
    <row r="39" spans="1:5" x14ac:dyDescent="0.25">
      <c r="A39" s="18">
        <f>+A33+1</f>
        <v>5</v>
      </c>
      <c r="B39" s="17" t="s">
        <v>139</v>
      </c>
      <c r="C39" t="s">
        <v>140</v>
      </c>
    </row>
    <row r="40" spans="1:5" x14ac:dyDescent="0.25">
      <c r="A40" s="18">
        <f>+A39+0.1</f>
        <v>5.0999999999999996</v>
      </c>
      <c r="B40" s="1" t="s">
        <v>141</v>
      </c>
      <c r="C40" s="23">
        <f>233.67/C41</f>
        <v>38.243862520458258</v>
      </c>
      <c r="D40" s="23">
        <f t="shared" ref="D40:E40" si="4">233.67/D41</f>
        <v>41.652406417112296</v>
      </c>
      <c r="E40" s="23">
        <f t="shared" si="4"/>
        <v>71.240853658536579</v>
      </c>
    </row>
    <row r="41" spans="1:5" x14ac:dyDescent="0.25">
      <c r="A41" s="18">
        <f t="shared" ref="A41:A44" si="5">+A40+0.1</f>
        <v>5.1999999999999993</v>
      </c>
      <c r="B41" s="3" t="s">
        <v>142</v>
      </c>
      <c r="C41">
        <f>'Financial Statements'!B25</f>
        <v>6.11</v>
      </c>
      <c r="D41">
        <f>'Financial Statements'!C25</f>
        <v>5.61</v>
      </c>
      <c r="E41">
        <f>'Financial Statements'!D25</f>
        <v>3.28</v>
      </c>
    </row>
    <row r="42" spans="1:5" x14ac:dyDescent="0.25">
      <c r="A42" s="18">
        <f t="shared" si="5"/>
        <v>5.2999999999999989</v>
      </c>
      <c r="B42" s="1" t="s">
        <v>143</v>
      </c>
      <c r="C42" s="23">
        <f>233.67/C43</f>
        <v>75.285248771116187</v>
      </c>
      <c r="D42" s="23">
        <f t="shared" ref="D42:E42" si="6">233.67/D43</f>
        <v>62.463554013789825</v>
      </c>
      <c r="E42" s="23">
        <f t="shared" si="6"/>
        <v>62.685651224842736</v>
      </c>
    </row>
    <row r="43" spans="1:5" x14ac:dyDescent="0.25">
      <c r="A43" s="18">
        <f t="shared" si="5"/>
        <v>5.3999999999999986</v>
      </c>
      <c r="B43" s="3" t="s">
        <v>144</v>
      </c>
      <c r="C43" s="23">
        <f>'Financial Statements'!B68/'Financial Statements'!B28*1000</f>
        <v>3.1037952827971451</v>
      </c>
      <c r="D43" s="23">
        <f>'Financial Statements'!C68/'Financial Statements'!C28*1000</f>
        <v>3.740901453484597</v>
      </c>
      <c r="E43" s="23">
        <f>'Financial Statements'!D68/'Financial Statements'!D28*1000</f>
        <v>3.7276473233382479</v>
      </c>
    </row>
    <row r="44" spans="1:5" x14ac:dyDescent="0.25">
      <c r="A44" s="18">
        <f t="shared" si="5"/>
        <v>5.4999999999999982</v>
      </c>
      <c r="B44" s="1" t="s">
        <v>145</v>
      </c>
      <c r="C44" s="23">
        <f>-'Financial Statements'!B102/'Financial Statements'!B22*100</f>
        <v>14.870294480125848</v>
      </c>
      <c r="D44" s="23">
        <f>-'Financial Statements'!C102/'Financial Statements'!C22*100</f>
        <v>15.279890156316011</v>
      </c>
      <c r="E44" s="23">
        <f>-'Financial Statements'!D102/'Financial Statements'!D22*100</f>
        <v>24.526658654264864</v>
      </c>
    </row>
    <row r="45" spans="1:5" x14ac:dyDescent="0.25">
      <c r="A45" s="18"/>
      <c r="B45" s="3" t="s">
        <v>146</v>
      </c>
      <c r="C45" s="23">
        <f>-'Financial Statements'!B102/16326</f>
        <v>0.90904079382579939</v>
      </c>
      <c r="D45" s="23">
        <f>-'Financial Statements'!C102/16326</f>
        <v>0.88613254930785246</v>
      </c>
      <c r="E45" s="23">
        <f>-'Financial Statements'!D102/16326</f>
        <v>0.86248928090162935</v>
      </c>
    </row>
    <row r="46" spans="1:5" x14ac:dyDescent="0.25">
      <c r="A46" s="18">
        <f>+A44+0.1</f>
        <v>5.5999999999999979</v>
      </c>
      <c r="B46" s="1" t="s">
        <v>147</v>
      </c>
      <c r="C46" s="24">
        <f>C45/233.67</f>
        <v>3.8902760038764046E-3</v>
      </c>
      <c r="D46" s="24">
        <f t="shared" ref="D46:E46" si="7">D45/233.67</f>
        <v>3.792239266092577E-3</v>
      </c>
      <c r="E46" s="24">
        <f t="shared" si="7"/>
        <v>3.6910569645295906E-3</v>
      </c>
    </row>
    <row r="47" spans="1:5" x14ac:dyDescent="0.25">
      <c r="A47" s="18">
        <f t="shared" ref="A47:A50" si="8">+A45+0.1</f>
        <v>0.1</v>
      </c>
      <c r="B47" s="1" t="s">
        <v>148</v>
      </c>
      <c r="C47" s="23">
        <f>'Financial Statements'!B22/'Financial Statements'!B68*100</f>
        <v>196.95887275023682</v>
      </c>
      <c r="D47" s="23">
        <f>'Financial Statements'!C22/'Financial Statements'!C68*100</f>
        <v>150.07132667617688</v>
      </c>
      <c r="E47" s="23">
        <f>'Financial Statements'!D22/'Financial Statements'!D68*100</f>
        <v>87.866358530127485</v>
      </c>
    </row>
    <row r="48" spans="1:5" x14ac:dyDescent="0.25">
      <c r="A48" s="18">
        <f t="shared" si="8"/>
        <v>5.6999999999999975</v>
      </c>
      <c r="B48" s="1" t="s">
        <v>149</v>
      </c>
    </row>
    <row r="49" spans="1:5" x14ac:dyDescent="0.25">
      <c r="A49" s="18">
        <f t="shared" si="8"/>
        <v>0.2</v>
      </c>
      <c r="B49" s="1" t="s">
        <v>138</v>
      </c>
      <c r="C49" s="23">
        <f>C37</f>
        <v>28.292440929256852</v>
      </c>
      <c r="D49" s="23">
        <f t="shared" ref="D49:E49" si="9">D37</f>
        <v>26.974205275183614</v>
      </c>
      <c r="E49" s="23">
        <f t="shared" si="9"/>
        <v>17.725571802598431</v>
      </c>
    </row>
    <row r="50" spans="1:5" x14ac:dyDescent="0.25">
      <c r="A50" s="18">
        <f t="shared" si="8"/>
        <v>5.7999999999999972</v>
      </c>
      <c r="B50" s="1" t="s">
        <v>150</v>
      </c>
      <c r="C50" s="23">
        <f>C51/C19</f>
        <v>28.561566251216092</v>
      </c>
      <c r="D50" s="23">
        <f t="shared" ref="D50:E50" si="10">D51/D19</f>
        <v>32.079924396796223</v>
      </c>
      <c r="E50" s="23">
        <f t="shared" si="10"/>
        <v>52.057609640049648</v>
      </c>
    </row>
    <row r="51" spans="1:5" x14ac:dyDescent="0.25">
      <c r="A51" s="18"/>
      <c r="B51" s="3" t="s">
        <v>151</v>
      </c>
      <c r="C51">
        <f>C52+'Financial Statements'!B36-'Financial Statements'!B59-'Financial Statements'!B55</f>
        <v>3728455.42</v>
      </c>
      <c r="D51">
        <f>D52+'Financial Statements'!C36-'Financial Statements'!C59-'Financial Statements'!C55</f>
        <v>3857065.55</v>
      </c>
      <c r="E51">
        <f>E52+'Financial Statements'!D36-'Financial Statements'!D59-'Financial Statements'!D55</f>
        <v>4026343.76</v>
      </c>
    </row>
    <row r="52" spans="1:5" x14ac:dyDescent="0.25">
      <c r="B52" t="s">
        <v>152</v>
      </c>
      <c r="C52">
        <f>233.67*16326</f>
        <v>3814896.42</v>
      </c>
      <c r="D52">
        <f>233.67*16865</f>
        <v>3940844.55</v>
      </c>
      <c r="E52">
        <f>233.67*17528</f>
        <v>4095767.76</v>
      </c>
    </row>
    <row r="54" spans="1:5" x14ac:dyDescent="0.25">
      <c r="A54" s="18">
        <f>A39+1</f>
        <v>6</v>
      </c>
      <c r="B54" s="7" t="s">
        <v>153</v>
      </c>
    </row>
    <row r="55" spans="1:5" x14ac:dyDescent="0.25">
      <c r="A55" s="18">
        <f>A54+0.1</f>
        <v>6.1</v>
      </c>
      <c r="B55" t="s">
        <v>154</v>
      </c>
      <c r="C55" s="25">
        <f>'Financial Statements'!B8/'Financial Statements'!C8-1</f>
        <v>7.7937876041846099E-2</v>
      </c>
      <c r="D55" s="25">
        <f>'Financial Statements'!C8/'Financial Statements'!D8-1</f>
        <v>0.33259384733074704</v>
      </c>
    </row>
    <row r="56" spans="1:5" x14ac:dyDescent="0.25">
      <c r="A56" s="18">
        <f t="shared" ref="A56:A58" si="11">A55+0.1</f>
        <v>6.1999999999999993</v>
      </c>
      <c r="B56" t="s">
        <v>155</v>
      </c>
      <c r="C56" s="25">
        <f>'Financial Statements'!B13/'Financial Statements'!C13-1</f>
        <v>0.1174199795859614</v>
      </c>
      <c r="D56" s="25">
        <f>'Financial Statements'!C13/'Financial Statements'!D13-1</f>
        <v>0.45619116582186825</v>
      </c>
    </row>
    <row r="57" spans="1:5" x14ac:dyDescent="0.25">
      <c r="A57" s="18">
        <f t="shared" si="11"/>
        <v>6.2999999999999989</v>
      </c>
      <c r="B57" t="s">
        <v>156</v>
      </c>
      <c r="C57" s="25">
        <f>'Financial Statements'!B15/'Financial Statements'!C15-1</f>
        <v>0.19791001186456136</v>
      </c>
      <c r="D57" s="25">
        <f>'Financial Statements'!C15/'Financial Statements'!D15-1</f>
        <v>0.16862201365187723</v>
      </c>
    </row>
    <row r="58" spans="1:5" x14ac:dyDescent="0.25">
      <c r="A58" s="18">
        <f t="shared" si="11"/>
        <v>6.3999999999999986</v>
      </c>
      <c r="B58" t="s">
        <v>157</v>
      </c>
      <c r="C58" s="25">
        <f>'Financial Statements'!B16/'Financial Statements'!C16-1</f>
        <v>0.14203795567287125</v>
      </c>
      <c r="D58" s="25">
        <f>'Financial Statements'!C16/'Financial Statements'!D16-1</f>
        <v>0.10328379192608961</v>
      </c>
    </row>
    <row r="59" spans="1:5" x14ac:dyDescent="0.25">
      <c r="A59" s="18"/>
    </row>
    <row r="60" spans="1:5" x14ac:dyDescent="0.25">
      <c r="A60" s="18">
        <f>A54+1</f>
        <v>7</v>
      </c>
      <c r="B60" s="7" t="s">
        <v>158</v>
      </c>
    </row>
    <row r="61" spans="1:5" x14ac:dyDescent="0.25">
      <c r="A61" s="18">
        <f>A60+0.1</f>
        <v>7.1</v>
      </c>
      <c r="B61" t="s">
        <v>159</v>
      </c>
      <c r="C61" s="25">
        <f>'Financial Statements'!B36/'Financial Statements'!C36-1</f>
        <v>-0.32323983972524328</v>
      </c>
      <c r="D61" s="25">
        <f>'Financial Statements'!C36/'Financial Statements'!D36-1</f>
        <v>-8.0913299663299632E-2</v>
      </c>
    </row>
    <row r="62" spans="1:5" x14ac:dyDescent="0.25">
      <c r="A62" s="18">
        <f t="shared" ref="A62:A64" si="12">A61+0.1</f>
        <v>7.1999999999999993</v>
      </c>
      <c r="B62" t="s">
        <v>160</v>
      </c>
      <c r="C62" s="25">
        <f>'Financial Statements'!B37/'Financial Statements'!C37-1</f>
        <v>-0.10978735694429398</v>
      </c>
      <c r="D62" s="25">
        <f>'Financial Statements'!C37/'Financial Statements'!D37-1</f>
        <v>-0.47665652691442928</v>
      </c>
    </row>
    <row r="63" spans="1:5" x14ac:dyDescent="0.25">
      <c r="A63" s="18">
        <f t="shared" si="12"/>
        <v>7.2999999999999989</v>
      </c>
      <c r="B63" t="s">
        <v>161</v>
      </c>
      <c r="C63" s="25">
        <f>'Financial Statements'!B38/'Financial Statements'!C38-1</f>
        <v>7.2532156176269069E-2</v>
      </c>
      <c r="D63" s="25">
        <f>'Financial Statements'!C38/'Financial Statements'!D38-1</f>
        <v>0.63014888337468977</v>
      </c>
    </row>
    <row r="64" spans="1:5" x14ac:dyDescent="0.25">
      <c r="A64" s="18">
        <f t="shared" si="12"/>
        <v>7.3999999999999986</v>
      </c>
      <c r="B64" t="s">
        <v>162</v>
      </c>
      <c r="C64" s="25">
        <f>'Financial Statements'!B39/'Financial Statements'!C39-1</f>
        <v>-0.2483282674772036</v>
      </c>
      <c r="D64" s="25">
        <f>'Financial Statements'!C39/'Financial Statements'!D39-1</f>
        <v>0.62029056882541256</v>
      </c>
    </row>
    <row r="66" spans="1:4" x14ac:dyDescent="0.25">
      <c r="A66" s="18">
        <f>A64+0.1</f>
        <v>7.4999999999999982</v>
      </c>
      <c r="B66" t="s">
        <v>163</v>
      </c>
      <c r="C66" s="25">
        <f>'Financial Statements'!B44/'Financial Statements'!C44-1</f>
        <v>-5.5303142863845745E-2</v>
      </c>
      <c r="D66" s="25">
        <f>'Financial Statements'!C44/'Financial Statements'!D44-1</f>
        <v>0.26752703519779564</v>
      </c>
    </row>
    <row r="67" spans="1:4" x14ac:dyDescent="0.25">
      <c r="A67" s="18">
        <f>A66+0.1</f>
        <v>7.5999999999999979</v>
      </c>
      <c r="B67" t="s">
        <v>164</v>
      </c>
      <c r="C67" s="25">
        <f>'Financial Statements'!B45/'Financial Statements'!C45-1</f>
        <v>6.7875253549695813E-2</v>
      </c>
      <c r="D67" s="25">
        <f>'Financial Statements'!C45/'Financial Statements'!D45-1</f>
        <v>7.2730239895555604E-2</v>
      </c>
    </row>
    <row r="68" spans="1:4" x14ac:dyDescent="0.25">
      <c r="A68" s="18"/>
    </row>
    <row r="69" spans="1:4" x14ac:dyDescent="0.25">
      <c r="A69" s="18">
        <f>A60+1</f>
        <v>8</v>
      </c>
      <c r="B69" s="7" t="s">
        <v>165</v>
      </c>
    </row>
    <row r="70" spans="1:4" x14ac:dyDescent="0.25">
      <c r="A70" s="18">
        <f>A69+0.1</f>
        <v>8.1</v>
      </c>
      <c r="B70" t="s">
        <v>166</v>
      </c>
      <c r="C70" s="25">
        <f>'Financial Statements'!B51/'Financial Statements'!C51-1</f>
        <v>0.17077223672917841</v>
      </c>
      <c r="D70" s="25">
        <f>'Financial Statements'!C51/'Financial Statements'!D51-1</f>
        <v>0.29475600529600898</v>
      </c>
    </row>
    <row r="71" spans="1:4" x14ac:dyDescent="0.25">
      <c r="A71" s="18">
        <f t="shared" ref="A71:A72" si="13">A70+0.1</f>
        <v>8.1999999999999993</v>
      </c>
      <c r="B71" t="s">
        <v>167</v>
      </c>
      <c r="C71" s="25">
        <f>'Financial Statements'!B52/'Financial Statements'!C52-1</f>
        <v>0.28113616743520087</v>
      </c>
      <c r="D71" s="25">
        <f>'Financial Statements'!C52/'Financial Statements'!D52-1</f>
        <v>0.11266516727579412</v>
      </c>
    </row>
    <row r="72" spans="1:4" x14ac:dyDescent="0.25">
      <c r="A72" s="18">
        <f t="shared" si="13"/>
        <v>8.2999999999999989</v>
      </c>
      <c r="B72" t="s">
        <v>168</v>
      </c>
      <c r="C72" s="25">
        <f>'Financial Statements'!B55/'Financial Statements'!C55-1</f>
        <v>0.157599084572974</v>
      </c>
      <c r="D72" s="25">
        <f>'Financial Statements'!C55/'Financial Statements'!D55-1</f>
        <v>9.5748318705118018E-2</v>
      </c>
    </row>
    <row r="73" spans="1:4" x14ac:dyDescent="0.25">
      <c r="C73" s="25"/>
      <c r="D73" s="25"/>
    </row>
    <row r="74" spans="1:4" x14ac:dyDescent="0.25">
      <c r="A74">
        <v>8.4</v>
      </c>
      <c r="B74" t="s">
        <v>169</v>
      </c>
      <c r="C74" s="25">
        <f>'Financial Statements'!B59/'Financial Statements'!C59-1</f>
        <v>-9.3001301486627663E-2</v>
      </c>
      <c r="D74" s="25">
        <f>'Financial Statements'!C59/'Financial Statements'!D59-1</f>
        <v>0.10580031824216807</v>
      </c>
    </row>
    <row r="76" spans="1:4" x14ac:dyDescent="0.25">
      <c r="A76" s="18">
        <v>9</v>
      </c>
      <c r="B76" s="7" t="s">
        <v>170</v>
      </c>
    </row>
    <row r="77" spans="1:4" x14ac:dyDescent="0.25">
      <c r="A77" s="18">
        <f>A76+0.1</f>
        <v>9.1</v>
      </c>
      <c r="B77" t="s">
        <v>171</v>
      </c>
      <c r="C77" s="25">
        <f>'Financial Statements'!B65/'Financial Statements'!C65-1</f>
        <v>0.13046282576483925</v>
      </c>
      <c r="D77" s="25">
        <f>'Financial Statements'!C65/'Financial Statements'!D65-1</f>
        <v>0.12969928513755691</v>
      </c>
    </row>
    <row r="78" spans="1:4" x14ac:dyDescent="0.25">
      <c r="A78" s="18">
        <f t="shared" ref="A78:A79" si="14">A77+0.1</f>
        <v>9.1999999999999993</v>
      </c>
      <c r="B78" t="s">
        <v>172</v>
      </c>
      <c r="C78" s="25">
        <f>'Financial Statements'!B66/'Financial Statements'!C66-1</f>
        <v>-1.5516001438331535</v>
      </c>
      <c r="D78" s="25">
        <f>'Financial Statements'!C66/'Financial Statements'!D66-1</f>
        <v>-0.62835761058399031</v>
      </c>
    </row>
    <row r="79" spans="1:4" x14ac:dyDescent="0.25">
      <c r="A79" s="18">
        <f t="shared" si="14"/>
        <v>9.2999999999999989</v>
      </c>
      <c r="B79" t="s">
        <v>173</v>
      </c>
      <c r="C79" s="25">
        <f>'Financial Statements'!B67/'Financial Statements'!C67-1</f>
        <v>-69.153374233128829</v>
      </c>
      <c r="D79" s="25">
        <f>'Financial Statements'!C67/'Financial Statements'!D67-1</f>
        <v>-1.4014778325123154</v>
      </c>
    </row>
    <row r="81" spans="1:5" x14ac:dyDescent="0.25">
      <c r="A81" s="18">
        <f>A76+1</f>
        <v>10</v>
      </c>
      <c r="B81" s="7" t="s">
        <v>174</v>
      </c>
    </row>
    <row r="82" spans="1:5" x14ac:dyDescent="0.25">
      <c r="A82">
        <f>A81+0.1</f>
        <v>10.1</v>
      </c>
      <c r="B82" t="s">
        <v>175</v>
      </c>
      <c r="C82" s="25">
        <f>'Financial Statements'!B12/'Financial Statements'!B8</f>
        <v>0.56690369438639909</v>
      </c>
      <c r="D82" s="25">
        <f>'Financial Statements'!C12/'Financial Statements'!C8</f>
        <v>0.58220640374832222</v>
      </c>
      <c r="E82" s="25">
        <f>'Financial Statements'!D12/'Financial Statements'!D8</f>
        <v>0.61766752272189129</v>
      </c>
    </row>
    <row r="83" spans="1:5" x14ac:dyDescent="0.25">
      <c r="A83">
        <f t="shared" ref="A83:A86" si="15">A82+0.1</f>
        <v>10.199999999999999</v>
      </c>
      <c r="B83" t="s">
        <v>155</v>
      </c>
      <c r="C83" s="25">
        <f>'Financial Statements'!B13/'Financial Statements'!B8</f>
        <v>0.43309630561360085</v>
      </c>
      <c r="D83" s="25">
        <f>'Financial Statements'!C13/'Financial Statements'!C8</f>
        <v>0.41779359625167778</v>
      </c>
      <c r="E83" s="25">
        <f>'Financial Statements'!D13/'Financial Statements'!D8</f>
        <v>0.38233247727810865</v>
      </c>
    </row>
    <row r="84" spans="1:5" x14ac:dyDescent="0.25">
      <c r="A84">
        <f t="shared" si="15"/>
        <v>10.299999999999999</v>
      </c>
      <c r="B84" t="s">
        <v>156</v>
      </c>
      <c r="C84" s="25">
        <f>'Financial Statements'!B15/'Financial Statements'!B8</f>
        <v>6.657148363798665E-2</v>
      </c>
      <c r="D84" s="25">
        <f>'Financial Statements'!C15/'Financial Statements'!C8</f>
        <v>5.9904269074427925E-2</v>
      </c>
      <c r="E84" s="25">
        <f>'Financial Statements'!D15/'Financial Statements'!D8</f>
        <v>6.8309564140393061E-2</v>
      </c>
    </row>
    <row r="85" spans="1:5" x14ac:dyDescent="0.25">
      <c r="A85">
        <f t="shared" si="15"/>
        <v>10.399999999999999</v>
      </c>
      <c r="B85" t="s">
        <v>157</v>
      </c>
      <c r="C85" s="25">
        <f>'Financial Statements'!B16/'Financial Statements'!B8</f>
        <v>6.3637378020328261E-2</v>
      </c>
      <c r="D85" s="25">
        <f>'Financial Statements'!C16/'Financial Statements'!C8</f>
        <v>6.006555190163388E-2</v>
      </c>
      <c r="E85" s="25">
        <f>'Financial Statements'!D16/'Financial Statements'!D8</f>
        <v>7.2549769593646979E-2</v>
      </c>
    </row>
    <row r="86" spans="1:5" x14ac:dyDescent="0.25">
      <c r="A86">
        <f t="shared" si="15"/>
        <v>10.499999999999998</v>
      </c>
      <c r="B86" t="s">
        <v>176</v>
      </c>
      <c r="C86" s="25">
        <f>'Financial Statements'!B18/'Financial Statements'!B8</f>
        <v>0.30288744395528594</v>
      </c>
      <c r="D86" s="25">
        <f>'Financial Statements'!C18/'Financial Statements'!C8</f>
        <v>0.29782377527561593</v>
      </c>
      <c r="E86" s="25">
        <f>'Financial Statements'!D18/'Financial Statements'!D8</f>
        <v>0.24147314354406862</v>
      </c>
    </row>
    <row r="87" spans="1:5" x14ac:dyDescent="0.25">
      <c r="A87">
        <f>A86+0.1</f>
        <v>10.599999999999998</v>
      </c>
      <c r="B87" t="s">
        <v>177</v>
      </c>
      <c r="C87" s="25">
        <f>'Financial Statements'!B22/'Financial Statements'!B8</f>
        <v>0.25309640705199732</v>
      </c>
      <c r="D87" s="25">
        <f>'Financial Statements'!C22/'Financial Statements'!C8</f>
        <v>0.25881793355694238</v>
      </c>
      <c r="E87" s="25">
        <f>'Financial Statements'!D22/'Financial Statements'!D8</f>
        <v>0.20913611278072236</v>
      </c>
    </row>
    <row r="89" spans="1:5" x14ac:dyDescent="0.25">
      <c r="A89" s="18">
        <f>A81+1</f>
        <v>11</v>
      </c>
      <c r="B89" s="7" t="s">
        <v>83</v>
      </c>
    </row>
    <row r="90" spans="1:5" x14ac:dyDescent="0.25">
      <c r="A90" s="18">
        <f>A89+0.1</f>
        <v>11.1</v>
      </c>
      <c r="B90" t="s">
        <v>178</v>
      </c>
      <c r="C90" s="25">
        <f>'Financial Statements'!B21/'Financial Statements'!B20</f>
        <v>0.16204461684424407</v>
      </c>
      <c r="D90" s="25">
        <f>'Financial Statements'!C21/'Financial Statements'!C20</f>
        <v>0.13302260844085087</v>
      </c>
      <c r="E90" s="25">
        <f>'Financial Statements'!D21/'Financial Statements'!D20</f>
        <v>0.14428164731484103</v>
      </c>
    </row>
    <row r="91" spans="1:5" x14ac:dyDescent="0.25">
      <c r="A91" s="18">
        <f t="shared" ref="A91:A92" si="16">A90+0.1</f>
        <v>11.2</v>
      </c>
      <c r="B91" t="s">
        <v>179</v>
      </c>
      <c r="C91" s="25">
        <f>-'Financial Statements'!B96/'Financial Statements'!B8</f>
        <v>2.7155058732831552E-2</v>
      </c>
      <c r="D91" s="25">
        <f>-'Financial Statements'!C96/'Financial Statements'!C8</f>
        <v>3.0302036264033657E-2</v>
      </c>
      <c r="E91" s="25">
        <f>-'Financial Statements'!D96/'Financial Statements'!D8</f>
        <v>2.6625138881299748E-2</v>
      </c>
    </row>
    <row r="92" spans="1:5" x14ac:dyDescent="0.25">
      <c r="A92" s="18">
        <f t="shared" si="16"/>
        <v>11.299999999999999</v>
      </c>
      <c r="B92" t="s">
        <v>180</v>
      </c>
      <c r="C92" s="25">
        <f>-'Financial Statements'!B96/'Financial Statements'!B45</f>
        <v>0.25424412944891611</v>
      </c>
      <c r="D92" s="25">
        <f>-'Financial Statements'!C96/'Financial Statements'!C45</f>
        <v>0.28105983772819471</v>
      </c>
      <c r="E92" s="25">
        <f>-'Financial Statements'!D96/'Financial Statements'!D45</f>
        <v>0.19879780231735844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lewis sterriker</cp:lastModifiedBy>
  <cp:revision/>
  <dcterms:created xsi:type="dcterms:W3CDTF">2020-05-18T16:32:37Z</dcterms:created>
  <dcterms:modified xsi:type="dcterms:W3CDTF">2024-10-29T22:26:31Z</dcterms:modified>
  <cp:category/>
  <cp:contentStatus/>
</cp:coreProperties>
</file>