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odree.NHIS\Desktop\"/>
    </mc:Choice>
  </mc:AlternateContent>
  <xr:revisionPtr revIDLastSave="0" documentId="13_ncr:1_{C785B386-AD9E-424B-A479-5A8B77938506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3" l="1"/>
  <c r="D51" i="3"/>
  <c r="C51" i="3"/>
  <c r="E50" i="3"/>
  <c r="D50" i="3"/>
  <c r="C50" i="3"/>
  <c r="E49" i="3"/>
  <c r="D49" i="3"/>
  <c r="C49" i="3"/>
  <c r="E48" i="3"/>
  <c r="D48" i="3"/>
  <c r="C48" i="3"/>
  <c r="C47" i="3"/>
  <c r="D47" i="3"/>
  <c r="E47" i="3"/>
  <c r="E46" i="3"/>
  <c r="D46" i="3"/>
  <c r="C46" i="3"/>
  <c r="E45" i="3"/>
  <c r="D45" i="3"/>
  <c r="C45" i="3"/>
  <c r="E44" i="3"/>
  <c r="D44" i="3"/>
  <c r="C44" i="3"/>
  <c r="E42" i="3"/>
  <c r="D42" i="3"/>
  <c r="C42" i="3"/>
  <c r="E43" i="3"/>
  <c r="D43" i="3"/>
  <c r="C43" i="3"/>
  <c r="C41" i="3"/>
  <c r="E41" i="3"/>
  <c r="D41" i="3"/>
  <c r="E40" i="3"/>
  <c r="D40" i="3"/>
  <c r="C40" i="3"/>
  <c r="E36" i="3"/>
  <c r="D36" i="3"/>
  <c r="C36" i="3"/>
  <c r="E35" i="3"/>
  <c r="D35" i="3"/>
  <c r="C35" i="3"/>
  <c r="E34" i="3"/>
  <c r="D34" i="3"/>
  <c r="C34" i="3"/>
  <c r="E29" i="3"/>
  <c r="D29" i="3"/>
  <c r="C29" i="3"/>
  <c r="C28" i="3"/>
  <c r="D28" i="3"/>
  <c r="E28" i="3"/>
  <c r="E27" i="3"/>
  <c r="D27" i="3"/>
  <c r="C27" i="3"/>
  <c r="E26" i="3"/>
  <c r="D26" i="3"/>
  <c r="C26" i="3"/>
  <c r="E25" i="3"/>
  <c r="D25" i="3"/>
  <c r="C25" i="3"/>
  <c r="E22" i="3"/>
  <c r="D22" i="3"/>
  <c r="C22" i="3"/>
  <c r="E20" i="3"/>
  <c r="D20" i="3"/>
  <c r="C20" i="3"/>
  <c r="E21" i="3"/>
  <c r="D21" i="3"/>
  <c r="C21" i="3"/>
  <c r="D19" i="3"/>
  <c r="E19" i="3"/>
  <c r="C19" i="3"/>
  <c r="E18" i="3"/>
  <c r="D18" i="3"/>
  <c r="C18" i="3"/>
  <c r="E17" i="3"/>
  <c r="D17" i="3"/>
  <c r="C17" i="3"/>
  <c r="XFD14" i="3"/>
  <c r="D14" i="3"/>
  <c r="C14" i="3"/>
  <c r="E13" i="3"/>
  <c r="D13" i="3"/>
  <c r="C13" i="3"/>
  <c r="C12" i="3"/>
  <c r="D12" i="3"/>
  <c r="E12" i="3"/>
  <c r="E11" i="3"/>
  <c r="D11" i="3"/>
  <c r="C11" i="3"/>
  <c r="E10" i="3"/>
  <c r="D10" i="3"/>
  <c r="C10" i="3"/>
  <c r="E9" i="3"/>
  <c r="D9" i="3"/>
  <c r="C9" i="3"/>
  <c r="E54" i="3"/>
  <c r="D54" i="3"/>
  <c r="C54" i="3"/>
  <c r="E53" i="3"/>
  <c r="D53" i="3"/>
  <c r="C53" i="3"/>
  <c r="D8" i="3"/>
  <c r="E8" i="3"/>
  <c r="C8" i="3"/>
  <c r="G8" i="3"/>
  <c r="E7" i="3"/>
  <c r="D7" i="3"/>
  <c r="C7" i="3"/>
  <c r="E6" i="3"/>
  <c r="D6" i="3"/>
  <c r="C6" i="3"/>
  <c r="E5" i="3"/>
  <c r="D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C62" i="1" l="1"/>
  <c r="B13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E14" i="3" s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<sst xmlns="http://schemas.openxmlformats.org/spreadsheetml/2006/main" count="181" uniqueCount="151">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</sst>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7" fontId="0" fillId="0" borderId="0" xfId="0" applyNumberFormat="1"/>
    <xf numFmtId="4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left" indent="2"/>
    </xf>
    <xf numFmtId="165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5" workbookViewId="0">
      <selection activeCell="A27" sqref="A27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zoomScale="60" zoomScaleNormal="60" workbookViewId="0">
      <selection activeCell="C48" sqref="C48"/>
    </sheetView>
  </sheetViews>
  <sheetFormatPr defaultRowHeight="14.5" x14ac:dyDescent="0.35"/>
  <cols>
    <col min="1" max="1" width="59" customWidth="1"/>
    <col min="2" max="2" width="28.453125" customWidth="1"/>
    <col min="3" max="3" width="11.54296875" bestFit="1" customWidth="1"/>
    <col min="4" max="4" width="12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25" t="s">
        <v>1</v>
      </c>
      <c r="B2" s="25"/>
      <c r="C2" s="25"/>
      <c r="D2" s="25"/>
    </row>
    <row r="3" spans="1:10" x14ac:dyDescent="0.35">
      <c r="B3" s="24" t="s">
        <v>23</v>
      </c>
      <c r="C3" s="24"/>
      <c r="D3" s="24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25" t="s">
        <v>24</v>
      </c>
      <c r="B31" s="25"/>
      <c r="C31" s="25"/>
      <c r="D31" s="25"/>
    </row>
    <row r="32" spans="1:4" x14ac:dyDescent="0.35">
      <c r="B32" s="24" t="s">
        <v>142</v>
      </c>
      <c r="C32" s="24"/>
      <c r="D32" s="24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84596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163884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307597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1" t="s">
        <v>54</v>
      </c>
      <c r="B65" s="15">
        <v>64849</v>
      </c>
      <c r="C65" s="15">
        <v>57365</v>
      </c>
      <c r="D65" s="15">
        <v>50779</v>
      </c>
    </row>
    <row r="66" spans="1:4" x14ac:dyDescent="0.35">
      <c r="A66" s="11" t="s">
        <v>43</v>
      </c>
      <c r="B66" s="15">
        <v>-3068</v>
      </c>
      <c r="C66" s="15">
        <v>5562</v>
      </c>
      <c r="D66" s="15">
        <v>14966</v>
      </c>
    </row>
    <row r="67" spans="1:4" x14ac:dyDescent="0.35">
      <c r="A67" s="11" t="s">
        <v>44</v>
      </c>
      <c r="B67" s="15">
        <v>-11109</v>
      </c>
      <c r="C67" s="15">
        <v>163</v>
      </c>
      <c r="D67" s="15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>
      <c r="A70" s="7"/>
      <c r="B70" s="7"/>
      <c r="C70" s="7"/>
      <c r="D70" s="7"/>
    </row>
    <row r="71" spans="1:4" x14ac:dyDescent="0.35">
      <c r="A71" s="25" t="s">
        <v>55</v>
      </c>
      <c r="B71" s="25"/>
      <c r="C71" s="25"/>
      <c r="D71" s="25"/>
    </row>
    <row r="72" spans="1:4" x14ac:dyDescent="0.35">
      <c r="A72" s="7"/>
      <c r="B72" s="24" t="s">
        <v>23</v>
      </c>
      <c r="C72" s="24"/>
      <c r="D72" s="24"/>
    </row>
    <row r="73" spans="1:4" x14ac:dyDescent="0.35">
      <c r="A73" s="7"/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4" spans="1:4" x14ac:dyDescent="0.35">
      <c r="A74" s="7"/>
      <c r="B74" s="7"/>
      <c r="C74" s="7"/>
      <c r="D74" s="7"/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s="7" t="s">
        <v>57</v>
      </c>
      <c r="B76" s="15">
        <f>+B22</f>
        <v>99803</v>
      </c>
      <c r="C76" s="15">
        <f t="shared" ref="C76:D76" si="18">+C22</f>
        <v>94680</v>
      </c>
      <c r="D76" s="15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1" t="s">
        <v>58</v>
      </c>
      <c r="B78" s="15"/>
      <c r="C78" s="15"/>
      <c r="D78" s="15"/>
    </row>
    <row r="79" spans="1:4" x14ac:dyDescent="0.35">
      <c r="A79" s="29" t="s">
        <v>59</v>
      </c>
      <c r="B79" s="15">
        <v>11104</v>
      </c>
      <c r="C79" s="15">
        <v>11284</v>
      </c>
      <c r="D79" s="15">
        <v>11056</v>
      </c>
    </row>
    <row r="80" spans="1:4" x14ac:dyDescent="0.35">
      <c r="A80" s="29" t="s">
        <v>83</v>
      </c>
      <c r="B80" s="15">
        <v>9038</v>
      </c>
      <c r="C80" s="15">
        <v>7906</v>
      </c>
      <c r="D80" s="15">
        <v>6829</v>
      </c>
    </row>
    <row r="81" spans="1:4" x14ac:dyDescent="0.35">
      <c r="A81" s="29" t="s">
        <v>60</v>
      </c>
      <c r="B81" s="15">
        <v>895</v>
      </c>
      <c r="C81" s="15">
        <v>-4774</v>
      </c>
      <c r="D81" s="15">
        <v>-215</v>
      </c>
    </row>
    <row r="82" spans="1:4" x14ac:dyDescent="0.35">
      <c r="A82" s="29" t="s">
        <v>61</v>
      </c>
      <c r="B82" s="15">
        <v>111</v>
      </c>
      <c r="C82" s="15">
        <v>-147</v>
      </c>
      <c r="D82" s="15">
        <v>-97</v>
      </c>
    </row>
    <row r="83" spans="1:4" x14ac:dyDescent="0.35">
      <c r="A83" s="7" t="s">
        <v>62</v>
      </c>
      <c r="B83" s="15"/>
      <c r="C83" s="15"/>
      <c r="D83" s="15"/>
    </row>
    <row r="84" spans="1:4" x14ac:dyDescent="0.35">
      <c r="A84" s="11" t="s">
        <v>28</v>
      </c>
      <c r="B84" s="15">
        <v>-1823</v>
      </c>
      <c r="C84" s="15">
        <v>-10125</v>
      </c>
      <c r="D84" s="15">
        <v>6917</v>
      </c>
    </row>
    <row r="85" spans="1:4" x14ac:dyDescent="0.35">
      <c r="A85" s="11" t="s">
        <v>29</v>
      </c>
      <c r="B85" s="15">
        <v>1484</v>
      </c>
      <c r="C85" s="15">
        <v>-2642</v>
      </c>
      <c r="D85" s="15">
        <v>-127</v>
      </c>
    </row>
    <row r="86" spans="1:4" x14ac:dyDescent="0.35">
      <c r="A86" s="11" t="s">
        <v>47</v>
      </c>
      <c r="B86" s="15">
        <v>-7520</v>
      </c>
      <c r="C86" s="15">
        <v>-3903</v>
      </c>
      <c r="D86" s="15">
        <v>1553</v>
      </c>
    </row>
    <row r="87" spans="1:4" x14ac:dyDescent="0.35">
      <c r="A87" s="11" t="s">
        <v>84</v>
      </c>
      <c r="B87" s="15">
        <v>-6499</v>
      </c>
      <c r="C87" s="15">
        <v>-8042</v>
      </c>
      <c r="D87" s="15">
        <v>-9588</v>
      </c>
    </row>
    <row r="88" spans="1:4" x14ac:dyDescent="0.35">
      <c r="A88" s="11" t="s">
        <v>35</v>
      </c>
      <c r="B88" s="15">
        <v>9448</v>
      </c>
      <c r="C88" s="15">
        <v>12326</v>
      </c>
      <c r="D88" s="15">
        <v>-4062</v>
      </c>
    </row>
    <row r="89" spans="1:4" x14ac:dyDescent="0.35">
      <c r="A89" s="11" t="s">
        <v>37</v>
      </c>
      <c r="B89" s="15">
        <v>478</v>
      </c>
      <c r="C89" s="15">
        <v>1676</v>
      </c>
      <c r="D89" s="15">
        <v>2081</v>
      </c>
    </row>
    <row r="90" spans="1:4" x14ac:dyDescent="0.35">
      <c r="A90" s="11" t="s">
        <v>85</v>
      </c>
      <c r="B90" s="15">
        <v>5632</v>
      </c>
      <c r="C90" s="15">
        <v>5799</v>
      </c>
      <c r="D90" s="15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5"/>
      <c r="C92" s="15"/>
      <c r="D92" s="15"/>
    </row>
    <row r="93" spans="1:4" x14ac:dyDescent="0.35">
      <c r="A93" s="11" t="s">
        <v>65</v>
      </c>
      <c r="B93" s="15">
        <v>-76923</v>
      </c>
      <c r="C93" s="15">
        <v>-109558</v>
      </c>
      <c r="D93" s="15">
        <v>-114938</v>
      </c>
    </row>
    <row r="94" spans="1:4" x14ac:dyDescent="0.35">
      <c r="A94" s="11" t="s">
        <v>66</v>
      </c>
      <c r="B94" s="15">
        <v>29917</v>
      </c>
      <c r="C94" s="15">
        <v>59023</v>
      </c>
      <c r="D94" s="15">
        <v>69918</v>
      </c>
    </row>
    <row r="95" spans="1:4" x14ac:dyDescent="0.35">
      <c r="A95" s="11" t="s">
        <v>67</v>
      </c>
      <c r="B95" s="15">
        <v>37446</v>
      </c>
      <c r="C95" s="15">
        <v>47460</v>
      </c>
      <c r="D95" s="15">
        <v>50473</v>
      </c>
    </row>
    <row r="96" spans="1:4" x14ac:dyDescent="0.35">
      <c r="A96" s="11" t="s">
        <v>68</v>
      </c>
      <c r="B96" s="15">
        <v>-10708</v>
      </c>
      <c r="C96" s="15">
        <v>-11085</v>
      </c>
      <c r="D96" s="15">
        <v>-7309</v>
      </c>
    </row>
    <row r="97" spans="1:4" x14ac:dyDescent="0.35">
      <c r="A97" s="11" t="s">
        <v>69</v>
      </c>
      <c r="B97" s="15">
        <v>-306</v>
      </c>
      <c r="C97" s="15">
        <v>-33</v>
      </c>
      <c r="D97" s="15">
        <v>-1524</v>
      </c>
    </row>
    <row r="98" spans="1:4" x14ac:dyDescent="0.35">
      <c r="A98" s="11" t="s">
        <v>61</v>
      </c>
      <c r="B98" s="15">
        <v>-1780</v>
      </c>
      <c r="C98" s="15">
        <v>-352</v>
      </c>
      <c r="D98" s="15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5"/>
      <c r="C100" s="15"/>
      <c r="D100" s="15"/>
    </row>
    <row r="101" spans="1:4" x14ac:dyDescent="0.35">
      <c r="A101" s="11" t="s">
        <v>86</v>
      </c>
      <c r="B101" s="15">
        <v>-6223</v>
      </c>
      <c r="C101" s="15">
        <v>-6556</v>
      </c>
      <c r="D101" s="15">
        <v>-3634</v>
      </c>
    </row>
    <row r="102" spans="1:4" x14ac:dyDescent="0.35">
      <c r="A102" s="11" t="s">
        <v>72</v>
      </c>
      <c r="B102" s="15">
        <v>-14841</v>
      </c>
      <c r="C102" s="15">
        <v>-14467</v>
      </c>
      <c r="D102" s="15">
        <v>-14081</v>
      </c>
    </row>
    <row r="103" spans="1:4" x14ac:dyDescent="0.35">
      <c r="A103" s="11" t="s">
        <v>73</v>
      </c>
      <c r="B103" s="15">
        <v>-89402</v>
      </c>
      <c r="C103" s="15">
        <v>-85971</v>
      </c>
      <c r="D103" s="15">
        <v>-72358</v>
      </c>
    </row>
    <row r="104" spans="1:4" x14ac:dyDescent="0.35">
      <c r="A104" s="11" t="s">
        <v>74</v>
      </c>
      <c r="B104" s="15">
        <v>5465</v>
      </c>
      <c r="C104" s="15">
        <v>20393</v>
      </c>
      <c r="D104" s="15">
        <v>16091</v>
      </c>
    </row>
    <row r="105" spans="1:4" x14ac:dyDescent="0.35">
      <c r="A105" s="11" t="s">
        <v>75</v>
      </c>
      <c r="B105" s="15">
        <v>-9543</v>
      </c>
      <c r="C105" s="15">
        <v>-8750</v>
      </c>
      <c r="D105" s="15">
        <v>-12629</v>
      </c>
    </row>
    <row r="106" spans="1:4" x14ac:dyDescent="0.35">
      <c r="A106" s="11" t="s">
        <v>76</v>
      </c>
      <c r="B106" s="15">
        <v>3955</v>
      </c>
      <c r="C106" s="15">
        <v>1022</v>
      </c>
      <c r="D106" s="15">
        <v>-963</v>
      </c>
    </row>
    <row r="107" spans="1:4" x14ac:dyDescent="0.35">
      <c r="A107" s="11" t="s">
        <v>61</v>
      </c>
      <c r="B107" s="15">
        <v>-160</v>
      </c>
      <c r="C107" s="15">
        <v>976</v>
      </c>
      <c r="D107" s="15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A111" s="7"/>
      <c r="B111" s="15"/>
      <c r="C111" s="15"/>
      <c r="D111" s="15"/>
    </row>
    <row r="112" spans="1:4" x14ac:dyDescent="0.35">
      <c r="A112" s="7" t="s">
        <v>80</v>
      </c>
      <c r="B112" s="15"/>
      <c r="C112" s="15"/>
      <c r="D112" s="15"/>
    </row>
    <row r="113" spans="1:4" x14ac:dyDescent="0.35">
      <c r="A113" s="7" t="s">
        <v>81</v>
      </c>
      <c r="B113" s="15">
        <v>19573</v>
      </c>
      <c r="C113" s="15">
        <v>25385</v>
      </c>
      <c r="D113" s="15">
        <v>9501</v>
      </c>
    </row>
    <row r="114" spans="1:4" x14ac:dyDescent="0.35">
      <c r="A114" s="7" t="s">
        <v>82</v>
      </c>
      <c r="B114" s="15">
        <v>2865</v>
      </c>
      <c r="C114" s="15">
        <v>2687</v>
      </c>
      <c r="D114" s="15">
        <v>3002</v>
      </c>
    </row>
    <row r="116" spans="1:4" x14ac:dyDescent="0.35">
      <c r="B116" s="30"/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57"/>
  <sheetViews>
    <sheetView tabSelected="1" topLeftCell="A35" workbookViewId="0">
      <selection activeCell="D35" sqref="D1:D1048576"/>
    </sheetView>
  </sheetViews>
  <sheetFormatPr defaultRowHeight="14.5" x14ac:dyDescent="0.35"/>
  <cols>
    <col min="1" max="1" width="4.6328125" customWidth="1"/>
    <col min="2" max="2" width="44.90625" customWidth="1"/>
    <col min="3" max="3" width="14.7265625" customWidth="1"/>
    <col min="4" max="5" width="11.81640625" bestFit="1" customWidth="1"/>
  </cols>
  <sheetData>
    <row r="1" spans="1:10 16384:16384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 16384:16384" x14ac:dyDescent="0.35">
      <c r="C2" s="24" t="s">
        <v>23</v>
      </c>
      <c r="D2" s="24"/>
      <c r="E2" s="24"/>
    </row>
    <row r="3" spans="1:10 16384:16384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 16384:16384" x14ac:dyDescent="0.35">
      <c r="A4" s="18">
        <v>1</v>
      </c>
      <c r="B4" s="7" t="s">
        <v>99</v>
      </c>
    </row>
    <row r="5" spans="1:10 16384:16384" x14ac:dyDescent="0.35">
      <c r="A5" s="18">
        <f>+A4+0.1</f>
        <v>1.1000000000000001</v>
      </c>
      <c r="B5" s="1" t="s">
        <v>100</v>
      </c>
      <c r="C5" s="26">
        <f>'Financial Statements'!B42/'Financial Statements'!B56</f>
        <v>0.87935602862672257</v>
      </c>
      <c r="D5" s="26">
        <f>'Financial Statements'!C42/'Financial Statements'!C56</f>
        <v>1.0745531195957954</v>
      </c>
      <c r="E5" s="26">
        <f>'Financial Statements'!D42/'Financial Statements'!D56</f>
        <v>1.3636044481554577</v>
      </c>
    </row>
    <row r="6" spans="1:10 16384:16384" x14ac:dyDescent="0.35">
      <c r="A6" s="18">
        <f t="shared" ref="A6:A13" si="0">+A5+0.1</f>
        <v>1.2000000000000002</v>
      </c>
      <c r="B6" s="1" t="s">
        <v>101</v>
      </c>
      <c r="C6" s="27">
        <f>('Financial Statements'!B36+'Financial Statements'!B37+'Financial Statements'!B38+'Financial Statements'!B40+'Financial Statements'!B46)/'Financial Statements'!B56</f>
        <v>1.0628774791858788</v>
      </c>
      <c r="D6" s="27">
        <f>('Financial Statements'!C36+'Financial Statements'!C37+'Financial Statements'!C38+'Financial Statements'!C40+'Financial Statements'!C46)/'Financial Statements'!C56</f>
        <v>1.298953626445438</v>
      </c>
      <c r="E6" s="27">
        <f>('Financial Statements'!D36+'Financial Statements'!D37+'Financial Statements'!D38+'Financial Statements'!D40+'Financial Statements'!D46)/'Financial Statements'!D56</f>
        <v>1.6216600880522241</v>
      </c>
    </row>
    <row r="7" spans="1:10 16384:16384" x14ac:dyDescent="0.35">
      <c r="A7" s="18">
        <f t="shared" si="0"/>
        <v>1.3000000000000003</v>
      </c>
      <c r="B7" s="1" t="s">
        <v>102</v>
      </c>
      <c r="C7" s="28">
        <f>'Financial Statements'!B36/'Financial Statements'!B56</f>
        <v>0.15356340351469652</v>
      </c>
      <c r="D7" s="28">
        <f>'Financial Statements'!C36/'Financial Statements'!C56</f>
        <v>0.27844853005634318</v>
      </c>
      <c r="E7" s="28">
        <f>'Financial Statements'!D36/'Financial Statements'!D56</f>
        <v>0.36071049035979963</v>
      </c>
    </row>
    <row r="8" spans="1:10 16384:16384" x14ac:dyDescent="0.35">
      <c r="A8" s="18">
        <f t="shared" si="0"/>
        <v>1.4000000000000004</v>
      </c>
      <c r="B8" s="1" t="s">
        <v>103</v>
      </c>
      <c r="C8" s="28">
        <f>('Financial Statements'!B36+'Financial Statements'!B37+'Financial Statements'!B38)/('Financial Statements'!B17/365)</f>
        <v>543.73590417762193</v>
      </c>
      <c r="D8" s="28">
        <f>('Financial Statements'!C36+'Financial Statements'!C37+'Financial Statements'!C38)/('Financial Statements'!C17/365)</f>
        <v>739.50611798482464</v>
      </c>
      <c r="E8" s="28">
        <f>('Financial Statements'!D36+'Financial Statements'!D37+'Financial Statements'!D38)/('Financial Statements'!D17/365)</f>
        <v>1010.6029533464364</v>
      </c>
      <c r="G8">
        <f>F8/C8</f>
        <v>0</v>
      </c>
    </row>
    <row r="9" spans="1:10 16384:16384" x14ac:dyDescent="0.35">
      <c r="A9" s="18">
        <f t="shared" si="0"/>
        <v>1.5000000000000004</v>
      </c>
      <c r="B9" s="1" t="s">
        <v>104</v>
      </c>
      <c r="C9" s="28">
        <f>('Financial Statements'!B39/'Financial Statements'!B12)*365</f>
        <v>8.0756980666171607</v>
      </c>
      <c r="D9" s="28">
        <f>('Financial Statements'!C39/'Financial Statements'!C12)*365</f>
        <v>11.27659274770989</v>
      </c>
      <c r="E9" s="28">
        <f>('Financial Statements'!D39/'Financial Statements'!D12)*365</f>
        <v>8.7418833562358831</v>
      </c>
    </row>
    <row r="10" spans="1:10 16384:16384" x14ac:dyDescent="0.35">
      <c r="A10" s="18">
        <f t="shared" si="0"/>
        <v>1.6000000000000005</v>
      </c>
      <c r="B10" s="1" t="s">
        <v>105</v>
      </c>
      <c r="C10" s="28">
        <f>('Financial Statements'!B51/'Financial Statements'!B12)*365</f>
        <v>104.68527730310539</v>
      </c>
      <c r="D10" s="28">
        <f>('Financial Statements'!C51/'Financial Statements'!C12)*365</f>
        <v>93.851071222315596</v>
      </c>
      <c r="E10" s="28">
        <f>('Financial Statements'!D51/'Financial Statements'!D12)*365</f>
        <v>91.048189715674198</v>
      </c>
    </row>
    <row r="11" spans="1:10 16384:16384" x14ac:dyDescent="0.35">
      <c r="A11" s="18">
        <f t="shared" si="0"/>
        <v>1.7000000000000006</v>
      </c>
      <c r="B11" s="1" t="s">
        <v>106</v>
      </c>
      <c r="C11">
        <f>('Financial Statements'!B38/'Financial Statements'!B8)*365</f>
        <v>26.087825363656648</v>
      </c>
      <c r="D11">
        <f>('Financial Statements'!C38/'Financial Statements'!C8)*365</f>
        <v>26.219311841713207</v>
      </c>
      <c r="E11">
        <f>('Financial Statements'!D38/'Financial Statements'!D8)*365</f>
        <v>21.433437152796749</v>
      </c>
    </row>
    <row r="12" spans="1:10 16384:16384" x14ac:dyDescent="0.35">
      <c r="A12" s="18">
        <f t="shared" si="0"/>
        <v>1.8000000000000007</v>
      </c>
      <c r="B12" s="1" t="s">
        <v>107</v>
      </c>
      <c r="C12" s="28">
        <f>C11+C9-C10</f>
        <v>-70.521753872831582</v>
      </c>
      <c r="D12" s="28">
        <f>D11+D9-D10</f>
        <v>-56.355166632892498</v>
      </c>
      <c r="E12" s="28">
        <f>E11+E9-E10</f>
        <v>-60.872869206641568</v>
      </c>
    </row>
    <row r="13" spans="1:10 16384:16384" x14ac:dyDescent="0.35">
      <c r="A13" s="18">
        <f t="shared" si="0"/>
        <v>1.9000000000000008</v>
      </c>
      <c r="B13" s="1" t="s">
        <v>108</v>
      </c>
      <c r="C13">
        <f>(('Financial Statements'!B42-'Financial Statements'!B56)/'Financial Statements'!B8)*100</f>
        <v>-4.7110527276784806</v>
      </c>
      <c r="D13">
        <f>(('Financial Statements'!C42-'Financial Statements'!C56)/'Financial Statements'!C8)*100</f>
        <v>2.5572895737486232</v>
      </c>
      <c r="E13">
        <f>(('Financial Statements'!D42-'Financial Statements'!D56)/'Financial Statements'!D8)*100</f>
        <v>13.959528623208204</v>
      </c>
    </row>
    <row r="14" spans="1:10 16384:16384" x14ac:dyDescent="0.35">
      <c r="A14" s="18"/>
      <c r="B14" s="3" t="s">
        <v>109</v>
      </c>
      <c r="C14">
        <f>'Financial Statements'!B48-'Financial Statements'!B56</f>
        <v>198773</v>
      </c>
      <c r="D14">
        <f>'Financial Statements'!C48-'Financial Statements'!C56</f>
        <v>225521</v>
      </c>
      <c r="E14">
        <f>'Financial Statements'!D48-'Financial Statements'!D56</f>
        <v>202205</v>
      </c>
      <c r="XFD14">
        <f>'Financial Statements'!XFC48-'Financial Statements'!XFC56</f>
        <v>0</v>
      </c>
    </row>
    <row r="15" spans="1:10 16384:16384" x14ac:dyDescent="0.35">
      <c r="A15" s="18"/>
    </row>
    <row r="16" spans="1:10 16384:16384" x14ac:dyDescent="0.35">
      <c r="A16" s="18">
        <f>+A4+1</f>
        <v>2</v>
      </c>
      <c r="B16" s="17" t="s">
        <v>110</v>
      </c>
    </row>
    <row r="17" spans="1:5" x14ac:dyDescent="0.35">
      <c r="A17" s="18">
        <f>+A16+0.1</f>
        <v>2.1</v>
      </c>
      <c r="B17" s="1" t="s">
        <v>9</v>
      </c>
      <c r="C17" s="28">
        <f>(('Financial Statements'!B8-'Financial Statements'!B12)/'Financial Statements'!B8)*100</f>
        <v>43.309630561360088</v>
      </c>
      <c r="D17" s="28">
        <f>(('Financial Statements'!C8-'Financial Statements'!C12)/'Financial Statements'!C8)*100</f>
        <v>41.779359625167778</v>
      </c>
      <c r="E17" s="28">
        <f>(('Financial Statements'!D8-'Financial Statements'!D12)/'Financial Statements'!D8)*100</f>
        <v>38.233247727810863</v>
      </c>
    </row>
    <row r="18" spans="1:5" x14ac:dyDescent="0.35">
      <c r="A18" s="18">
        <f>+A17+0.1</f>
        <v>2.2000000000000002</v>
      </c>
      <c r="B18" s="1" t="s">
        <v>111</v>
      </c>
      <c r="C18">
        <f>(('Financial Statements'!B79+'Financial Statements'!B80+'Financial Statements'!B114)/'Financial Statements'!B8)*100</f>
        <v>5.8344829684932344</v>
      </c>
      <c r="D18">
        <f>(('Financial Statements'!C79+'Financial Statements'!C80+'Financial Statements'!C114)/'Financial Statements'!C8)*100</f>
        <v>5.9803125606519103</v>
      </c>
      <c r="E18">
        <f>(('Financial Statements'!D79+'Financial Statements'!D80+'Financial Statements'!D114)/'Financial Statements'!D8)*100</f>
        <v>7.6086916926215329</v>
      </c>
    </row>
    <row r="19" spans="1:5" x14ac:dyDescent="0.35">
      <c r="A19" s="18"/>
      <c r="B19" s="3" t="s">
        <v>112</v>
      </c>
      <c r="C19">
        <f>'Financial Statements'!B79+'Financial Statements'!B114+'Financial Statements'!B80+'Financial Statements'!B81+'Financial Statements'!B82</f>
        <v>24013</v>
      </c>
      <c r="D19">
        <f>'Financial Statements'!C79+'Financial Statements'!C114+'Financial Statements'!C80+'Financial Statements'!C81+'Financial Statements'!C82</f>
        <v>16956</v>
      </c>
      <c r="E19">
        <f>'Financial Statements'!D79+'Financial Statements'!D114+'Financial Statements'!D80+'Financial Statements'!D81+'Financial Statements'!D82</f>
        <v>20575</v>
      </c>
    </row>
    <row r="20" spans="1:5" x14ac:dyDescent="0.35">
      <c r="A20" s="18">
        <f>+A18+0.1</f>
        <v>2.3000000000000003</v>
      </c>
      <c r="B20" s="1" t="s">
        <v>113</v>
      </c>
      <c r="C20" s="28">
        <f>(C21/'Financial Statements'!B8)*100</f>
        <v>30.288744395528592</v>
      </c>
      <c r="D20" s="28">
        <f>(D21/'Financial Statements'!C8)*100</f>
        <v>29.782377527561593</v>
      </c>
      <c r="E20" s="28">
        <f>(E21/'Financial Statements'!D8)*100</f>
        <v>24.147314354406863</v>
      </c>
    </row>
    <row r="21" spans="1:5" x14ac:dyDescent="0.35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5" x14ac:dyDescent="0.35">
      <c r="A22" s="18">
        <f>+A20+0.1</f>
        <v>2.4000000000000004</v>
      </c>
      <c r="B22" s="1" t="s">
        <v>115</v>
      </c>
      <c r="C22">
        <f>('Financial Statements'!B22/'Financial Statements'!B8)*100</f>
        <v>25.309640705199733</v>
      </c>
      <c r="D22">
        <f>('Financial Statements'!C22/'Financial Statements'!C8)*100</f>
        <v>25.881793355694239</v>
      </c>
      <c r="E22">
        <f>('Financial Statements'!D22/'Financial Statements'!D8)*100</f>
        <v>20.913611278072235</v>
      </c>
    </row>
    <row r="23" spans="1:5" x14ac:dyDescent="0.35">
      <c r="A23" s="18"/>
    </row>
    <row r="24" spans="1:5" x14ac:dyDescent="0.35">
      <c r="A24" s="18">
        <f>+A16+1</f>
        <v>3</v>
      </c>
      <c r="B24" s="7" t="s">
        <v>116</v>
      </c>
    </row>
    <row r="25" spans="1:5" x14ac:dyDescent="0.35">
      <c r="A25" s="18">
        <f>+A24+0.1</f>
        <v>3.1</v>
      </c>
      <c r="B25" s="1" t="s">
        <v>117</v>
      </c>
      <c r="C25" s="28">
        <f>('Financial Statements'!B62/'Financial Statements'!B68)</f>
        <v>5.9615369434796337</v>
      </c>
      <c r="D25" s="28">
        <f>('Financial Statements'!C62/'Financial Statements'!C68)</f>
        <v>4.5635124425423994</v>
      </c>
      <c r="E25" s="28">
        <f>('Financial Statements'!D62/'Financial Statements'!D68)</f>
        <v>3.9570394404566951</v>
      </c>
    </row>
    <row r="26" spans="1:5" x14ac:dyDescent="0.35">
      <c r="A26" s="18">
        <f t="shared" ref="A26:A30" si="1">+A25+0.1</f>
        <v>3.2</v>
      </c>
      <c r="B26" s="1" t="s">
        <v>118</v>
      </c>
      <c r="C26" s="28">
        <f>('Financial Statements'!B62/'Financial Statements'!B48)</f>
        <v>0.85635355983614692</v>
      </c>
      <c r="D26" s="28">
        <f>('Financial Statements'!C62/'Financial Statements'!C48)</f>
        <v>0.82025743443057308</v>
      </c>
      <c r="E26" s="28">
        <f>('Financial Statements'!D62/'Financial Statements'!D48)</f>
        <v>0.84054460869254255</v>
      </c>
    </row>
    <row r="27" spans="1:5" x14ac:dyDescent="0.35">
      <c r="A27" s="18">
        <f t="shared" si="1"/>
        <v>3.3000000000000003</v>
      </c>
      <c r="B27" s="1" t="s">
        <v>119</v>
      </c>
      <c r="C27" s="28">
        <f>('Financial Statements'!B61/('Financial Statements'!B61+'Financial Statements'!B68))</f>
        <v>0.74507604151469264</v>
      </c>
      <c r="D27" s="28">
        <f>('Financial Statements'!C61/('Financial Statements'!C61+'Financial Statements'!C68))</f>
        <v>0.72024778180302496</v>
      </c>
      <c r="E27" s="28">
        <f>('Financial Statements'!D61/('Financial Statements'!D61+'Financial Statements'!D68))</f>
        <v>0.70096020064440534</v>
      </c>
    </row>
    <row r="28" spans="1:5" x14ac:dyDescent="0.35">
      <c r="A28" s="18">
        <f t="shared" si="1"/>
        <v>3.4000000000000004</v>
      </c>
      <c r="B28" s="1" t="s">
        <v>120</v>
      </c>
      <c r="C28" s="28">
        <f>C21/'Financial Statements'!B114</f>
        <v>41.68830715532286</v>
      </c>
      <c r="D28" s="28">
        <f>D21/'Financial Statements'!C114</f>
        <v>40.546706363974693</v>
      </c>
      <c r="E28" s="28">
        <f>E21/'Financial Statements'!D114</f>
        <v>22.081279147235175</v>
      </c>
    </row>
    <row r="29" spans="1:5" x14ac:dyDescent="0.35">
      <c r="A29" s="18">
        <f t="shared" si="1"/>
        <v>3.5000000000000004</v>
      </c>
      <c r="B29" s="1" t="s">
        <v>121</v>
      </c>
      <c r="C29">
        <f>'List of Ratios'!C21/'Financial Statements'!B114</f>
        <v>41.68830715532286</v>
      </c>
      <c r="D29">
        <f>'List of Ratios'!D21/'Financial Statements'!C114</f>
        <v>40.546706363974693</v>
      </c>
      <c r="E29">
        <f>'List of Ratios'!E21/'Financial Statements'!D114</f>
        <v>22.081279147235175</v>
      </c>
    </row>
    <row r="30" spans="1:5" x14ac:dyDescent="0.35">
      <c r="A30" s="18">
        <f t="shared" si="1"/>
        <v>3.6000000000000005</v>
      </c>
      <c r="B30" s="1" t="s">
        <v>122</v>
      </c>
    </row>
    <row r="31" spans="1:5" x14ac:dyDescent="0.35">
      <c r="A31" s="18"/>
      <c r="B31" s="3" t="s">
        <v>123</v>
      </c>
    </row>
    <row r="32" spans="1:5" x14ac:dyDescent="0.35">
      <c r="A32" s="18"/>
    </row>
    <row r="33" spans="1:5" x14ac:dyDescent="0.35">
      <c r="A33" s="18">
        <f>+A24+1</f>
        <v>4</v>
      </c>
      <c r="B33" s="17" t="s">
        <v>124</v>
      </c>
    </row>
    <row r="34" spans="1:5" x14ac:dyDescent="0.35">
      <c r="A34" s="18">
        <f>+A33+0.1</f>
        <v>4.0999999999999996</v>
      </c>
      <c r="B34" s="1" t="s">
        <v>125</v>
      </c>
      <c r="C34" s="28">
        <f>'Financial Statements'!B8/('Financial Statements'!B48)</f>
        <v>1.1178523337727317</v>
      </c>
      <c r="D34" s="28">
        <f>'Financial Statements'!C8/('Financial Statements'!C48)</f>
        <v>1.0422077367080529</v>
      </c>
      <c r="E34" s="28">
        <f>'Financial Statements'!D8/('Financial Statements'!D48)</f>
        <v>0.89245018644525143</v>
      </c>
    </row>
    <row r="35" spans="1:5" x14ac:dyDescent="0.35">
      <c r="A35" s="18">
        <f t="shared" ref="A35:A37" si="2">+A34+0.1</f>
        <v>4.1999999999999993</v>
      </c>
      <c r="B35" s="1" t="s">
        <v>126</v>
      </c>
      <c r="C35" s="28">
        <f>'Financial Statements'!B8/'Financial Statements'!B45</f>
        <v>9.3626801529073767</v>
      </c>
      <c r="D35" s="28">
        <f>'Financial Statements'!C8/'Financial Statements'!C45</f>
        <v>9.2752789046653152</v>
      </c>
      <c r="E35" s="28">
        <f>'Financial Statements'!D8/'Financial Statements'!D45</f>
        <v>7.4665451776097482</v>
      </c>
    </row>
    <row r="36" spans="1:5" x14ac:dyDescent="0.35">
      <c r="A36" s="18">
        <f t="shared" si="2"/>
        <v>4.2999999999999989</v>
      </c>
      <c r="B36" s="1" t="s">
        <v>127</v>
      </c>
      <c r="C36" s="28">
        <f>'Financial Statements'!B12/'Financial Statements'!B39</f>
        <v>45.197331176708452</v>
      </c>
      <c r="D36" s="28">
        <f>'Financial Statements'!C12/'Financial Statements'!C39</f>
        <v>32.367933130699086</v>
      </c>
      <c r="E36" s="28">
        <f>'Financial Statements'!D12/'Financial Statements'!D39</f>
        <v>41.753016498399411</v>
      </c>
    </row>
    <row r="37" spans="1:5" x14ac:dyDescent="0.35">
      <c r="A37" s="18">
        <f t="shared" si="2"/>
        <v>4.3999999999999986</v>
      </c>
      <c r="B37" s="1" t="s">
        <v>128</v>
      </c>
    </row>
    <row r="38" spans="1:5" x14ac:dyDescent="0.35">
      <c r="A38" s="18"/>
    </row>
    <row r="39" spans="1:5" x14ac:dyDescent="0.35">
      <c r="A39" s="18">
        <f>+A33+1</f>
        <v>5</v>
      </c>
      <c r="B39" s="17" t="s">
        <v>129</v>
      </c>
    </row>
    <row r="40" spans="1:5" x14ac:dyDescent="0.35">
      <c r="A40" s="18">
        <f>+A39+0.1</f>
        <v>5.0999999999999996</v>
      </c>
      <c r="B40" s="1" t="s">
        <v>130</v>
      </c>
      <c r="C40">
        <f>226.06/6.08</f>
        <v>37.180921052631582</v>
      </c>
      <c r="D40">
        <f>226.06/6.08</f>
        <v>37.180921052631582</v>
      </c>
      <c r="E40">
        <f>226.06/6.08</f>
        <v>37.180921052631582</v>
      </c>
    </row>
    <row r="41" spans="1:5" x14ac:dyDescent="0.35">
      <c r="A41" s="18">
        <f t="shared" ref="A41:A44" si="3">+A40+0.1</f>
        <v>5.1999999999999993</v>
      </c>
      <c r="B41" s="3" t="s">
        <v>131</v>
      </c>
      <c r="C41">
        <f>'Financial Statements'!B22/'Financial Statements'!B27</f>
        <v>6.1546144376377768E-3</v>
      </c>
      <c r="D41">
        <f>'Financial Statements'!C22/'Financial Statements'!C27</f>
        <v>5.6690292811230189E-3</v>
      </c>
      <c r="E41">
        <f>'Financial Statements'!D22/'Financial Statements'!D27</f>
        <v>3.3085872682177895E-3</v>
      </c>
    </row>
    <row r="42" spans="1:5" x14ac:dyDescent="0.35">
      <c r="A42" s="18">
        <f t="shared" si="3"/>
        <v>5.2999999999999989</v>
      </c>
      <c r="B42" s="1" t="s">
        <v>132</v>
      </c>
      <c r="C42">
        <f>6.08/C43</f>
        <v>1958.8920808335963</v>
      </c>
      <c r="D42">
        <f>6.08/D43</f>
        <v>1625.2767081946427</v>
      </c>
      <c r="E42">
        <f>6.08/E43</f>
        <v>1631.0555888519873</v>
      </c>
    </row>
    <row r="43" spans="1:5" x14ac:dyDescent="0.35">
      <c r="A43" s="18">
        <f t="shared" si="3"/>
        <v>5.3999999999999986</v>
      </c>
      <c r="B43" s="3" t="s">
        <v>133</v>
      </c>
      <c r="C43">
        <f>'Financial Statements'!B68/'Financial Statements'!B28</f>
        <v>3.103795282797145E-3</v>
      </c>
      <c r="D43">
        <f>'Financial Statements'!C68/'Financial Statements'!C28</f>
        <v>3.7409014534845971E-3</v>
      </c>
      <c r="E43">
        <f>'Financial Statements'!D68/'Financial Statements'!D28</f>
        <v>3.7276473233382478E-3</v>
      </c>
    </row>
    <row r="44" spans="1:5" x14ac:dyDescent="0.35">
      <c r="A44" s="18">
        <f t="shared" si="3"/>
        <v>5.4999999999999982</v>
      </c>
      <c r="B44" s="1" t="s">
        <v>134</v>
      </c>
      <c r="C44">
        <f>-'Financial Statements'!B102/'Financial Statements'!B22</f>
        <v>0.14870294480125848</v>
      </c>
      <c r="D44">
        <f>-'Financial Statements'!C102/'Financial Statements'!C22</f>
        <v>0.15279890156316012</v>
      </c>
      <c r="E44">
        <f>-'Financial Statements'!D102/'Financial Statements'!D22</f>
        <v>0.24526658654264863</v>
      </c>
    </row>
    <row r="45" spans="1:5" x14ac:dyDescent="0.35">
      <c r="A45" s="18"/>
      <c r="B45" s="3" t="s">
        <v>135</v>
      </c>
      <c r="C45">
        <f>-'Financial Statements'!B102/'Financial Statements'!B27</f>
        <v>9.1520929099307886E-4</v>
      </c>
      <c r="D45">
        <f>-'Financial Statements'!C102/'Financial Statements'!C27</f>
        <v>8.6622144708498852E-4</v>
      </c>
      <c r="E45">
        <f>-'Financial Statements'!D102/'Financial Statements'!D27</f>
        <v>8.1148590555424381E-4</v>
      </c>
    </row>
    <row r="46" spans="1:5" x14ac:dyDescent="0.35">
      <c r="A46" s="18">
        <f>+A44+0.1</f>
        <v>5.5999999999999979</v>
      </c>
      <c r="B46" s="1" t="s">
        <v>136</v>
      </c>
      <c r="C46">
        <f>226.06/'Financial Statements'!B27</f>
        <v>1.3940584348891275E-5</v>
      </c>
      <c r="D46">
        <f>226.06/'Financial Statements'!C27</f>
        <v>1.3535495978988906E-5</v>
      </c>
      <c r="E46">
        <f>226.06/'Financial Statements'!D27</f>
        <v>1.3027803693600765E-5</v>
      </c>
    </row>
    <row r="47" spans="1:5" x14ac:dyDescent="0.35">
      <c r="A47" s="18">
        <f t="shared" ref="A47:A50" si="4">+A45+0.1</f>
        <v>0.1</v>
      </c>
      <c r="B47" s="1" t="s">
        <v>137</v>
      </c>
      <c r="C47">
        <f>('Financial Statements'!B22/'Financial Statements'!B68)*100</f>
        <v>196.95887275023682</v>
      </c>
      <c r="D47">
        <f>('Financial Statements'!C22/'Financial Statements'!C68)*100</f>
        <v>150.07132667617688</v>
      </c>
      <c r="E47">
        <f>('Financial Statements'!D22/'Financial Statements'!D68)*100</f>
        <v>87.866358530127485</v>
      </c>
    </row>
    <row r="48" spans="1:5" x14ac:dyDescent="0.35">
      <c r="A48" s="18">
        <f t="shared" si="4"/>
        <v>5.6999999999999975</v>
      </c>
      <c r="B48" s="1" t="s">
        <v>138</v>
      </c>
      <c r="C48">
        <f>(C21/('Financial Statements'!B48-'Financial Statements'!B56))*100</f>
        <v>60.087134570590571</v>
      </c>
      <c r="D48">
        <f>(D21/('Financial Statements'!C48-'Financial Statements'!C56))*100</f>
        <v>48.309913489209436</v>
      </c>
      <c r="E48">
        <f>(E21/('Financial Statements'!D48-'Financial Statements'!D56))*100</f>
        <v>32.782572142132985</v>
      </c>
    </row>
    <row r="49" spans="1:5" x14ac:dyDescent="0.35">
      <c r="A49" s="18">
        <f t="shared" si="4"/>
        <v>0.2</v>
      </c>
      <c r="B49" s="1" t="s">
        <v>128</v>
      </c>
      <c r="C49">
        <f>('Financial Statements'!B22/'Financial Statements'!B48)*100</f>
        <v>28.292440929256852</v>
      </c>
      <c r="D49">
        <f>('Financial Statements'!C22/'Financial Statements'!C48)*100</f>
        <v>26.974205275183614</v>
      </c>
      <c r="E49">
        <f>('Financial Statements'!D22/'Financial Statements'!D48)*100</f>
        <v>18.66435628435908</v>
      </c>
    </row>
    <row r="50" spans="1:5" x14ac:dyDescent="0.35">
      <c r="A50" s="18">
        <f t="shared" si="4"/>
        <v>5.7999999999999972</v>
      </c>
      <c r="B50" s="1" t="s">
        <v>139</v>
      </c>
      <c r="C50">
        <f>(226.96*'Financial Statements'!B27)/'List of Ratios'!C19</f>
        <v>153265.93772040145</v>
      </c>
      <c r="D50">
        <f>(226.96*'Financial Statements'!C27)/'List of Ratios'!D19</f>
        <v>223550.40652984197</v>
      </c>
      <c r="E50">
        <f>(226.96*'Financial Statements'!D27)/'List of Ratios'!E19</f>
        <v>191408.84219878496</v>
      </c>
    </row>
    <row r="51" spans="1:5" x14ac:dyDescent="0.35">
      <c r="A51" s="18"/>
      <c r="B51" s="3" t="s">
        <v>140</v>
      </c>
      <c r="C51">
        <f>(226.96*'Financial Statements'!B27)</f>
        <v>3680374962.48</v>
      </c>
      <c r="D51">
        <f>(226.96*'Financial Statements'!C27)</f>
        <v>3790520693.1200004</v>
      </c>
      <c r="E51">
        <f>(226.96*'Financial Statements'!D27)</f>
        <v>3938236928.2400002</v>
      </c>
    </row>
    <row r="52" spans="1:5" x14ac:dyDescent="0.35">
      <c r="C52" t="s">
        <v>150</v>
      </c>
      <c r="D52" t="s">
        <v>150</v>
      </c>
      <c r="E52" t="s">
        <v>150</v>
      </c>
    </row>
    <row r="53" spans="1:5" x14ac:dyDescent="0.35">
      <c r="B53" s="1" t="s">
        <v>146</v>
      </c>
      <c r="C53">
        <f>'Financial Statements'!B12/'Financial Statements'!B8</f>
        <v>0.56690369438639909</v>
      </c>
      <c r="D53">
        <f>'Financial Statements'!C12/'Financial Statements'!C8</f>
        <v>0.58220640374832222</v>
      </c>
      <c r="E53">
        <f>'Financial Statements'!D12/'Financial Statements'!D8</f>
        <v>0.61766752272189129</v>
      </c>
    </row>
    <row r="54" spans="1:5" x14ac:dyDescent="0.35">
      <c r="B54" s="1" t="s">
        <v>89</v>
      </c>
      <c r="C54">
        <f>('Financial Statements'!B8-'Financial Statements'!B12)/'Financial Statements'!B8</f>
        <v>0.43309630561360085</v>
      </c>
      <c r="D54">
        <f>('Financial Statements'!C8-'Financial Statements'!C12)/'Financial Statements'!C8</f>
        <v>0.41779359625167778</v>
      </c>
      <c r="E54">
        <f>('Financial Statements'!D8-'Financial Statements'!D12)/'Financial Statements'!D8</f>
        <v>0.38233247727810865</v>
      </c>
    </row>
    <row r="55" spans="1:5" x14ac:dyDescent="0.35">
      <c r="B55" s="1" t="s">
        <v>90</v>
      </c>
    </row>
    <row r="56" spans="1:5" x14ac:dyDescent="0.35">
      <c r="B56" s="1" t="s">
        <v>14</v>
      </c>
    </row>
    <row r="57" spans="1:5" x14ac:dyDescent="0.35">
      <c r="B57" s="1" t="s">
        <v>93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KHODA, Reena (BARNBY GATE SURGERY)</cp:lastModifiedBy>
  <dcterms:created xsi:type="dcterms:W3CDTF">2020-05-18T16:32:37Z</dcterms:created>
  <dcterms:modified xsi:type="dcterms:W3CDTF">2024-11-10T18:50:28Z</dcterms:modified>
</cp:coreProperties>
</file>