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Historicals" sheetId="2" r:id="rId5"/>
    <sheet state="visible" name="Segmental forecast" sheetId="3" r:id="rId6"/>
    <sheet state="visible" name="Three Statements" sheetId="4" r:id="rId7"/>
  </sheets>
  <definedNames/>
  <calcPr/>
  <extLst>
    <ext uri="GoogleSheetsCustomDataVersion2">
      <go:sheetsCustomData xmlns:go="http://customooxmlschemas.google.com/" r:id="rId8" roundtripDataChecksum="yu98KiNSsPlTewXWyYWBBpyyndkF2pxilOO1019Ji08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66">
      <text>
        <t xml:space="preserve">======
ID#AAABjjDBGOQ
Dell    (2025-05-12 12:36:00)
Kept as balancing figure, since the reported segmental breakdowns and the cahsflow numbers have a small difference which cannot be traced back.</t>
      </text>
    </comment>
  </commentList>
  <extLst>
    <ext uri="GoogleSheetsCustomDataVersion2">
      <go:sheetsCustomData xmlns:go="http://customooxmlschemas.google.com/" r:id="rId1" roundtripDataSignature="AMtx7micO3Iz/a+iksCeB7gdEOpbY0GWzw=="/>
    </ext>
  </extLst>
</comments>
</file>

<file path=xl/sharedStrings.xml><?xml version="1.0" encoding="utf-8"?>
<sst xmlns="http://schemas.openxmlformats.org/spreadsheetml/2006/main" count="553" uniqueCount="230">
  <si>
    <t>Instructions</t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</si>
  <si>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</si>
  <si>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</si>
  <si>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</si>
  <si>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</si>
  <si>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</si>
  <si>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</si>
  <si>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Please ensure to write your justifications and assumptions for each lines where you have assumed a forecast rate.</t>
  </si>
  <si>
    <t>You can take up to 7 days for this task.</t>
  </si>
  <si>
    <r>
      <rPr>
        <rFont val="Calibri"/>
        <b/>
        <color rgb="FFFFFFFF"/>
        <sz val="16.0"/>
      </rPr>
      <t xml:space="preserve">NIKE, INC.
</t>
    </r>
    <r>
      <rPr>
        <rFont val="Calibri"/>
        <b val="0"/>
        <color rgb="FFFFFFFF"/>
        <sz val="11.0"/>
      </rPr>
      <t>(Dollars and Shares in Millions Except Per Share Amounts)</t>
    </r>
  </si>
  <si>
    <t>Revenues</t>
  </si>
  <si>
    <t>Cost of sales</t>
  </si>
  <si>
    <t>Gross profit</t>
  </si>
  <si>
    <t>Demand creation expense</t>
  </si>
  <si>
    <t>Operating overhead expense</t>
  </si>
  <si>
    <t>Total selling and administrative expense</t>
  </si>
  <si>
    <t>Interest expense (income), net</t>
  </si>
  <si>
    <t>Other (income) expense, net</t>
  </si>
  <si>
    <t>Income before income taxes</t>
  </si>
  <si>
    <t>Income tax expense</t>
  </si>
  <si>
    <t>NET INCOME</t>
  </si>
  <si>
    <t>Net earnings per share:</t>
  </si>
  <si>
    <t>Basic</t>
  </si>
  <si>
    <t>Diluted</t>
  </si>
  <si>
    <t>Average shares outstanding:</t>
  </si>
  <si>
    <t>Check (Reported diluted EPS-(Net income/diluted no. of shares)</t>
  </si>
  <si>
    <t>CONSOLIDATED BALANCE SHEETS</t>
  </si>
  <si>
    <t>ASSETS</t>
  </si>
  <si>
    <t>Net Wcap</t>
  </si>
  <si>
    <t>Current assets:</t>
  </si>
  <si>
    <t>DPS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</si>
  <si>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</si>
  <si>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</si>
  <si>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</si>
  <si>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</si>
  <si>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</si>
  <si>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Total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</si>
  <si>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</si>
  <si>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</si>
  <si>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</si>
  <si>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</si>
  <si>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</si>
  <si>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</si>
  <si>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</si>
  <si>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</si>
  <si>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</si>
  <si>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</si>
  <si>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Accounts payable</t>
  </si>
  <si>
    <t>Current portion of operating lease liabilities</t>
  </si>
  <si>
    <t>Accrued liabilities</t>
  </si>
  <si>
    <t>Income taxes payable</t>
  </si>
  <si>
    <t>Total current liabilities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</si>
  <si>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</si>
  <si>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</si>
  <si>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</si>
  <si>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</si>
  <si>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</si>
  <si>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</si>
  <si>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</si>
  <si>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</si>
  <si>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</si>
  <si>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</si>
  <si>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</si>
  <si>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</si>
  <si>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</si>
  <si>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</si>
  <si>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 xml:space="preserve"> Check (total assets - total labilities and equity)</t>
  </si>
  <si>
    <t>CONSOLIDATED STATEMENTS OF CASH FLOWS</t>
  </si>
  <si>
    <t>(Link Net income figures from income statement)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</si>
  <si>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</si>
  <si>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</si>
  <si>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</si>
  <si>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</si>
  <si>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</si>
  <si>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</si>
  <si>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</si>
  <si>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</si>
  <si>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</si>
  <si>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</si>
  <si>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</si>
  <si>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(Increase) decrease in prepaid expenses, operating lease right-of-use assets and other current and non-current assets</t>
  </si>
  <si>
    <t>Increase (decrease) in accounts payable, accrued liabilities, operating lease liabilities and other current and non-current liabilities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</si>
  <si>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</si>
  <si>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</si>
  <si>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</si>
  <si>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</si>
  <si>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</si>
  <si>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 xml:space="preserve">Investments in reverse repurchase agreements </t>
  </si>
  <si>
    <t>Additions to property, plant and equipment</t>
  </si>
  <si>
    <t xml:space="preserve">Disposals of property, plant and equipment 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</si>
  <si>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</si>
  <si>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</si>
  <si>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</si>
  <si>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</si>
  <si>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n/a</t>
  </si>
  <si>
    <t xml:space="preserve">Long-term debt payments, including current portion </t>
  </si>
  <si>
    <t>Increase (decrease) in notes payable, net</t>
  </si>
  <si>
    <t>Repayment of borrowings</t>
  </si>
  <si>
    <t>Proceeds from exercise of stock options and other stock issuances</t>
  </si>
  <si>
    <t>Repurchase of common stock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</si>
  <si>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</si>
  <si>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</si>
  <si>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</si>
  <si>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</si>
  <si>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</si>
  <si>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</si>
  <si>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</si>
  <si>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 xml:space="preserve"> Check (cash at eop - cash in balance sheet)</t>
  </si>
  <si>
    <t>Supplemental disclosure of cash flow information:</t>
  </si>
  <si>
    <t>Cash paid during the year for:</t>
  </si>
  <si>
    <t>Interest, net of capitalized interest</t>
  </si>
  <si>
    <t>Income taxes</t>
  </si>
  <si>
    <t>Non-cash additions to property, plant and equipment</t>
  </si>
  <si>
    <t>Dividends declared and not paid</t>
  </si>
  <si>
    <t>Segmental Breakdowns</t>
  </si>
  <si>
    <t>Revenue:</t>
  </si>
  <si>
    <t>North America</t>
  </si>
  <si>
    <t>Footwear</t>
  </si>
  <si>
    <t>Apparel</t>
  </si>
  <si>
    <t>Equipment</t>
  </si>
  <si>
    <t>Europe, Middle East &amp; Africa</t>
  </si>
  <si>
    <t>Greater China</t>
  </si>
  <si>
    <t>Asia Pacific &amp; Latin America</t>
  </si>
  <si>
    <t>Global Brand Divisions</t>
  </si>
  <si>
    <t>TOTAL NIKE BRAND</t>
  </si>
  <si>
    <t>Converse</t>
  </si>
  <si>
    <t>Other</t>
  </si>
  <si>
    <t>Corporate</t>
  </si>
  <si>
    <t>TOTAL NIKE, INC. REVENUES</t>
  </si>
  <si>
    <t xml:space="preserve"> Check</t>
  </si>
  <si>
    <t>EBIT:</t>
  </si>
  <si>
    <t>TOTAL NIKE, INC. EBIT</t>
  </si>
  <si>
    <t>PROPERTY, PLANT AND EQUIPMENT, NET</t>
  </si>
  <si>
    <t>Asia Pacific &amp; Latin America(1)</t>
  </si>
  <si>
    <t>Total NIKE Brand</t>
  </si>
  <si>
    <t>TOTAL PROPERTY, PLANT AND EQUIPMENT, NET</t>
  </si>
  <si>
    <t>ADDITIONS TO PROPERTY, PLANT AND EQUIPMENT</t>
  </si>
  <si>
    <t xml:space="preserve">Discrepancy in recorded cash by investing activities + Additions to PP+E </t>
  </si>
  <si>
    <t>TOTAL ADDITIONS TO PROPERTY, PLANT AND EQUIPMENT</t>
  </si>
  <si>
    <t>DEPRECIATION</t>
  </si>
  <si>
    <t>TOTAL DEPRECIATION</t>
  </si>
  <si>
    <t>Revenue Drivers</t>
  </si>
  <si>
    <t>Organic revenue growth</t>
  </si>
  <si>
    <r>
      <rPr>
        <rFont val="Calibri"/>
        <b/>
        <color rgb="FFFFFFFF"/>
        <sz val="16.0"/>
      </rPr>
      <t xml:space="preserve">NIKE, INC.
</t>
    </r>
    <r>
      <rPr>
        <rFont val="Calibri"/>
        <b val="0"/>
        <color rgb="FFFFFFFF"/>
        <sz val="11.0"/>
      </rPr>
      <t>(Dollars and Shares in Millions Except Per Share Amounts)</t>
    </r>
  </si>
  <si>
    <t>Group Totals</t>
  </si>
  <si>
    <t>Group Revenue</t>
  </si>
  <si>
    <t>Growth %</t>
  </si>
  <si>
    <t>EBITDA</t>
  </si>
  <si>
    <t>Margin %</t>
  </si>
  <si>
    <t>D&amp;A</t>
  </si>
  <si>
    <t>As a  % of revenue</t>
  </si>
  <si>
    <t>EBIT</t>
  </si>
  <si>
    <t>Capex</t>
  </si>
  <si>
    <t>Property, plant and equipment</t>
  </si>
  <si>
    <t>Revenue</t>
  </si>
  <si>
    <t>Organic growth %</t>
  </si>
  <si>
    <t>Currency impact %</t>
  </si>
  <si>
    <t>As a % of PPE</t>
  </si>
  <si>
    <r>
      <rPr>
        <rFont val="Calibri"/>
        <b/>
        <color rgb="FFFFFFFF"/>
        <sz val="16.0"/>
      </rPr>
      <t xml:space="preserve">NIKE, INC.
</t>
    </r>
    <r>
      <rPr>
        <rFont val="Calibri"/>
        <b val="0"/>
        <color rgb="FFFFFFFF"/>
        <sz val="11.0"/>
      </rPr>
      <t>(Dollars and Shares in Millions Except Per Share Amounts)</t>
    </r>
  </si>
  <si>
    <t>Income Statement</t>
  </si>
  <si>
    <r>
      <rPr>
        <rFont val="Calibri"/>
        <b/>
        <i/>
        <color rgb="FF000000"/>
        <sz val="11.0"/>
      </rPr>
      <t xml:space="preserve"> </t>
    </r>
    <r>
      <rPr>
        <rFont val="Calibri"/>
        <b/>
        <i/>
        <color rgb="FF2A6099"/>
        <sz val="11.0"/>
      </rPr>
      <t>AV GR%</t>
    </r>
  </si>
  <si>
    <r>
      <rPr>
        <rFont val="Calibri"/>
        <b/>
        <i/>
        <color rgb="FF000000"/>
        <sz val="11.0"/>
      </rPr>
      <t>Revenue</t>
    </r>
    <r>
      <rPr>
        <rFont val="Calibri"/>
        <b val="0"/>
        <i/>
        <color rgb="FF000000"/>
        <sz val="11.0"/>
      </rPr>
      <t xml:space="preserve"> across all previous years excluding the pandemic and 2015 has been fairly consistent between 4.9% and 7.5%, 2022 being the lowest at 4.9% </t>
    </r>
  </si>
  <si>
    <t xml:space="preserve">Due to the effects of the pandemic and a huge growth rate following in 2021 it is expected 2022 may be lower than usual. </t>
  </si>
  <si>
    <t xml:space="preserve">We will there for presume based on the consistency of growth in revenue overall that this may continue and increase by a minimum of 4.9% in following </t>
  </si>
  <si>
    <t xml:space="preserve">years and have used this rate in forecasting the future growth. </t>
  </si>
  <si>
    <t xml:space="preserve">To add further, based on the earnings call transcripts, Nike itself reports expectations of revenue growth in the low double digits for 2023. The 4.9% </t>
  </si>
  <si>
    <t xml:space="preserve">growth rate provides us with an increase 2.2 billion increase for the year. </t>
  </si>
  <si>
    <t xml:space="preserve">The rate of 4.9% has also been applied to EBIT, EBITDA and D&amp;A, all of which have displayed similar trends of growth to revenue. </t>
  </si>
  <si>
    <t>PBT</t>
  </si>
  <si>
    <r>
      <rPr>
        <rFont val="Calibri"/>
        <b/>
        <i/>
        <color rgb="FF000000"/>
        <sz val="11.0"/>
      </rPr>
      <t>Tax rate</t>
    </r>
    <r>
      <rPr>
        <rFont val="Calibri"/>
        <b val="0"/>
        <i/>
        <color rgb="FF000000"/>
        <sz val="11.0"/>
      </rPr>
      <t xml:space="preserve"> expectations in the earning call transcripts are predicting rates in the mid teens range. I have applied a 61% increase in tax in 2023 to give us a </t>
    </r>
  </si>
  <si>
    <t>14% tax rate for all forecasted years. This was also the rate in 2021, and the average rate across 2019 to 2021.</t>
  </si>
  <si>
    <t>Tax rate %</t>
  </si>
  <si>
    <t>Net Income</t>
  </si>
  <si>
    <r>
      <rPr>
        <rFont val="Calibri"/>
        <b/>
        <color rgb="FF000000"/>
        <sz val="11.0"/>
      </rPr>
      <t>Diluted number of shares</t>
    </r>
    <r>
      <rPr>
        <rFont val="Calibri"/>
        <b val="0"/>
        <color rgb="FF000000"/>
        <sz val="11.0"/>
      </rPr>
      <t xml:space="preserve"> has fluctuated between 1659 to 1692 over the past 5 years. An average over 5 years has been calculated for forecasted years.</t>
    </r>
  </si>
  <si>
    <t>Diluted number of shares</t>
  </si>
  <si>
    <r>
      <rPr>
        <rFont val="Calibri"/>
        <b/>
        <color rgb="FF000000"/>
        <sz val="11.0"/>
      </rPr>
      <t>EPS</t>
    </r>
    <r>
      <rPr>
        <rFont val="Calibri"/>
        <b val="0"/>
        <color rgb="FF000000"/>
        <sz val="11.0"/>
      </rPr>
      <t xml:space="preserve"> has displayed stable consistent growth over the past 5 years excluding 2020. 2022 recorded just 5.2% growth rate after the success of 2021 but is </t>
    </r>
  </si>
  <si>
    <t>EPS</t>
  </si>
  <si>
    <t xml:space="preserve">a reasonable and likely rate to apply to forecasted years. </t>
  </si>
  <si>
    <r>
      <rPr>
        <rFont val="Calibri"/>
        <b/>
        <color rgb="FF000000"/>
        <sz val="11.0"/>
      </rPr>
      <t>DPS</t>
    </r>
    <r>
      <rPr>
        <rFont val="Calibri"/>
        <b val="0"/>
        <color rgb="FF000000"/>
        <sz val="11.0"/>
      </rPr>
      <t xml:space="preserve"> has been in decline since 2016 in a distinct down trend which has been continued in forecasting. </t>
    </r>
  </si>
  <si>
    <t>Payout ratio%</t>
  </si>
  <si>
    <t>Balance Sheet</t>
  </si>
  <si>
    <r>
      <rPr>
        <rFont val="Calibri"/>
        <b/>
        <i/>
        <color rgb="FF000000"/>
        <sz val="11.0"/>
      </rPr>
      <t xml:space="preserve"> </t>
    </r>
    <r>
      <rPr>
        <rFont val="Calibri"/>
        <b/>
        <i/>
        <color rgb="FF2A6099"/>
        <sz val="11.0"/>
      </rPr>
      <t>AV GR%</t>
    </r>
    <r>
      <rPr>
        <rFont val="Calibri"/>
        <b/>
        <i/>
        <color rgb="FF000000"/>
        <sz val="12.0"/>
      </rPr>
      <t xml:space="preserve"> </t>
    </r>
    <r>
      <rPr>
        <rFont val="Calibri"/>
        <b/>
        <i/>
        <color rgb="FF2A6099"/>
        <sz val="9.0"/>
      </rPr>
      <t>All Years</t>
    </r>
  </si>
  <si>
    <t>Cash and Cash Equivalents</t>
  </si>
  <si>
    <r>
      <rPr>
        <rFont val="Calibri"/>
        <b/>
        <color rgb="FF000000"/>
        <sz val="11.0"/>
      </rPr>
      <t>Cash and cash equivalents</t>
    </r>
    <r>
      <rPr>
        <rFont val="Calibri"/>
        <b val="0"/>
        <color rgb="FF000000"/>
        <sz val="11.0"/>
      </rPr>
      <t xml:space="preserve"> has had minimal and stable growth since 2017, excluding the years of the pandemic where they almost doubled. 2022 seen a </t>
    </r>
  </si>
  <si>
    <t>Other Items Included in Net Debt</t>
  </si>
  <si>
    <t xml:space="preserve">decline which could continue as they balance out and resume normal coarse after the pandemic. Therefore a low average growth rate has been </t>
  </si>
  <si>
    <t>Net Working Capital</t>
  </si>
  <si>
    <t xml:space="preserve">calculated to 0.9% giving us a more likely assumption for all forecasted years. </t>
  </si>
  <si>
    <t>As a % of revenue</t>
  </si>
  <si>
    <t>Other Current Assets</t>
  </si>
  <si>
    <t>Property Plant and Equipment</t>
  </si>
  <si>
    <t xml:space="preserve">In the following segments where we have had constant year on year growth I have calculated the average growth rate off all years and used this to </t>
  </si>
  <si>
    <t>Intangible Assets</t>
  </si>
  <si>
    <t xml:space="preserve">forecast future years growth. </t>
  </si>
  <si>
    <t xml:space="preserve">If there are unusual discrepancies in the trend that I feel impact the overall accuracy and probability of forecasting those years have been left out. </t>
  </si>
  <si>
    <t>Other Assets</t>
  </si>
  <si>
    <t>Total Assets</t>
  </si>
  <si>
    <t xml:space="preserve">If a change in trend has developed in the most recent years then only the average growth rate of the years that represent that trend have been included. </t>
  </si>
  <si>
    <t>Current Borrowings</t>
  </si>
  <si>
    <t xml:space="preserve">In rows with random inconsistent amounts that are unpredictable, an average of the most probable or consistent years has been calculated for forecasting. 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</si>
  <si>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</si>
  <si>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</si>
  <si>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</si>
  <si>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</si>
  <si>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</si>
  <si>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</si>
  <si>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</si>
  <si>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</si>
  <si>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</si>
  <si>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r>
      <rPr>
        <rFont val="Calibri"/>
        <b/>
        <i/>
        <color rgb="FF000000"/>
        <sz val="11.0"/>
      </rPr>
      <t xml:space="preserve"> </t>
    </r>
    <r>
      <rPr>
        <rFont val="Calibri"/>
        <b/>
        <i/>
        <color rgb="FF2A6099"/>
        <sz val="11.0"/>
      </rPr>
      <t>AV GR%</t>
    </r>
    <r>
      <rPr>
        <rFont val="Calibri"/>
        <b/>
        <i/>
        <color rgb="FF000000"/>
        <sz val="9.0"/>
      </rPr>
      <t xml:space="preserve"> </t>
    </r>
    <r>
      <rPr>
        <rFont val="Calibri"/>
        <b/>
        <i/>
        <color rgb="FF2A6099"/>
        <sz val="9.0"/>
      </rPr>
      <t>All Years</t>
    </r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</si>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</sst>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(* #,##0_);_(* \(#,##0\);_(* \-??_);_(@_)"/>
    <numFmt numFmtId="165" formatCode="0.0%"/>
    <numFmt numFmtId="166" formatCode="_(* #,##0.00_);_(* \(#,##0.00\);_(* \-??_);_(@_)"/>
    <numFmt numFmtId="167" formatCode="#,##0_);\(#,##0\)"/>
  </numFmts>
  <fonts count="18">
    <font>
      <sz val="11.0"/>
      <color rgb="FF000000"/>
      <name val="Calibri"/>
      <scheme val="minor"/>
    </font>
    <font>
      <b/>
      <sz val="18.0"/>
      <color rgb="FFFFFFFF"/>
      <name val="Calibri"/>
    </font>
    <font>
      <color theme="1"/>
      <name val="Calibri"/>
      <scheme val="minor"/>
    </font>
    <font>
      <b/>
      <sz val="11.0"/>
      <color rgb="FF000000"/>
      <name val="Calibri"/>
    </font>
    <font>
      <sz val="11.0"/>
      <color rgb="FF000000"/>
      <name val="Calibri"/>
    </font>
    <font>
      <b/>
      <sz val="16.0"/>
      <color rgb="FFFFFFFF"/>
      <name val="Calibri"/>
    </font>
    <font>
      <b/>
      <sz val="11.0"/>
      <color rgb="FFFFFFFF"/>
      <name val="Calibri"/>
    </font>
    <font>
      <b/>
      <sz val="11.0"/>
      <color rgb="FFFF0000"/>
      <name val="Calibri"/>
    </font>
    <font>
      <i/>
      <sz val="11.0"/>
      <color rgb="FF000000"/>
      <name val="Calibri"/>
    </font>
    <font>
      <sz val="11.0"/>
      <color rgb="FFFF0000"/>
      <name val="Calibri"/>
    </font>
    <font>
      <b/>
      <i/>
      <sz val="10.0"/>
      <color rgb="FF000000"/>
      <name val="Calibri"/>
    </font>
    <font>
      <i/>
      <sz val="10.0"/>
      <color rgb="FF000000"/>
      <name val="Calibri"/>
    </font>
    <font>
      <i/>
      <sz val="9.0"/>
      <color rgb="FF000000"/>
      <name val="Calibri"/>
    </font>
    <font>
      <i/>
      <sz val="10.0"/>
      <color rgb="FF002060"/>
      <name val="Calibri"/>
    </font>
    <font>
      <b/>
      <i/>
      <sz val="11.0"/>
      <color rgb="FF000000"/>
      <name val="Calibri"/>
    </font>
    <font>
      <b/>
      <sz val="11.0"/>
      <color rgb="FF2A6099"/>
      <name val="Calibri"/>
    </font>
    <font>
      <b/>
      <i/>
      <sz val="10.0"/>
      <color rgb="FF2A6099"/>
      <name val="Calibri"/>
    </font>
    <font>
      <b/>
      <i/>
      <sz val="9.0"/>
      <color rgb="FF000000"/>
      <name val="Calibri"/>
    </font>
  </fonts>
  <fills count="11">
    <fill>
      <patternFill patternType="none"/>
    </fill>
    <fill>
      <patternFill patternType="lightGray"/>
    </fill>
    <fill>
      <patternFill patternType="solid">
        <fgColor rgb="FF002060"/>
        <bgColor rgb="FF002060"/>
      </patternFill>
    </fill>
    <fill>
      <patternFill patternType="solid">
        <fgColor rgb="FFADB9CA"/>
        <bgColor rgb="FFADB9CA"/>
      </patternFill>
    </fill>
    <fill>
      <patternFill patternType="solid">
        <fgColor rgb="FFB4C7DC"/>
        <bgColor rgb="FFB4C7DC"/>
      </patternFill>
    </fill>
    <fill>
      <patternFill patternType="solid">
        <fgColor rgb="FF8497B0"/>
        <bgColor rgb="FF8497B0"/>
      </patternFill>
    </fill>
    <fill>
      <patternFill patternType="solid">
        <fgColor rgb="FF4472C4"/>
        <bgColor rgb="FF4472C4"/>
      </patternFill>
    </fill>
    <fill>
      <patternFill patternType="solid">
        <fgColor rgb="FF8FAADC"/>
        <bgColor rgb="FF8FAADC"/>
      </patternFill>
    </fill>
    <fill>
      <patternFill patternType="solid">
        <fgColor rgb="FFEDEDED"/>
        <bgColor rgb="FFEDEDED"/>
      </patternFill>
    </fill>
    <fill>
      <patternFill patternType="solid">
        <fgColor rgb="FFFFFFFF"/>
        <bgColor rgb="FFFFFFFF"/>
      </patternFill>
    </fill>
    <fill>
      <patternFill patternType="solid">
        <fgColor rgb="FFEEEEEE"/>
        <bgColor rgb="FFEEEEEE"/>
      </patternFill>
    </fill>
  </fills>
  <borders count="12">
    <border/>
    <border>
      <left/>
      <right/>
      <top/>
      <bottom/>
    </border>
    <border>
      <bottom style="thin">
        <color rgb="FF000000"/>
      </bottom>
    </border>
    <border>
      <top style="thin">
        <color rgb="FF000000"/>
      </top>
    </border>
    <border>
      <top style="thin">
        <color rgb="FF000000"/>
      </top>
      <bottom style="double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9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wrapText="1"/>
    </xf>
    <xf borderId="0" fillId="0" fontId="2" numFmtId="0" xfId="0" applyFont="1"/>
    <xf borderId="0" fillId="0" fontId="3" numFmtId="0" xfId="0" applyFont="1"/>
    <xf borderId="0" fillId="0" fontId="4" numFmtId="0" xfId="0" applyAlignment="1" applyFont="1">
      <alignment horizontal="left"/>
    </xf>
    <xf borderId="0" fillId="0" fontId="4" numFmtId="0" xfId="0" applyAlignment="1" applyFont="1">
      <alignment horizontal="left" shrinkToFit="0" wrapText="1"/>
    </xf>
    <xf borderId="0" fillId="0" fontId="4" numFmtId="0" xfId="0" applyAlignment="1" applyFont="1">
      <alignment shrinkToFit="0" wrapText="1"/>
    </xf>
    <xf borderId="1" fillId="2" fontId="5" numFmtId="0" xfId="0" applyAlignment="1" applyBorder="1" applyFont="1">
      <alignment shrinkToFit="0" vertical="center" wrapText="1"/>
    </xf>
    <xf borderId="1" fillId="2" fontId="6" numFmtId="0" xfId="0" applyAlignment="1" applyBorder="1" applyFont="1">
      <alignment horizontal="right"/>
    </xf>
    <xf borderId="0" fillId="0" fontId="4" numFmtId="164" xfId="0" applyFont="1" applyNumberFormat="1"/>
    <xf borderId="2" fillId="0" fontId="4" numFmtId="0" xfId="0" applyBorder="1" applyFont="1"/>
    <xf borderId="2" fillId="0" fontId="4" numFmtId="164" xfId="0" applyBorder="1" applyFont="1" applyNumberFormat="1"/>
    <xf borderId="0" fillId="0" fontId="3" numFmtId="164" xfId="0" applyFont="1" applyNumberFormat="1"/>
    <xf borderId="3" fillId="0" fontId="4" numFmtId="0" xfId="0" applyAlignment="1" applyBorder="1" applyFont="1">
      <alignment horizontal="left"/>
    </xf>
    <xf borderId="3" fillId="0" fontId="4" numFmtId="164" xfId="0" applyBorder="1" applyFont="1" applyNumberFormat="1"/>
    <xf borderId="3" fillId="0" fontId="3" numFmtId="0" xfId="0" applyBorder="1" applyFont="1"/>
    <xf borderId="3" fillId="0" fontId="3" numFmtId="164" xfId="0" applyBorder="1" applyFont="1" applyNumberFormat="1"/>
    <xf borderId="4" fillId="0" fontId="3" numFmtId="0" xfId="0" applyBorder="1" applyFont="1"/>
    <xf borderId="4" fillId="0" fontId="3" numFmtId="164" xfId="0" applyBorder="1" applyFont="1" applyNumberFormat="1"/>
    <xf borderId="0" fillId="0" fontId="4" numFmtId="3" xfId="0" applyFont="1" applyNumberFormat="1"/>
    <xf borderId="0" fillId="0" fontId="7" numFmtId="0" xfId="0" applyFont="1"/>
    <xf borderId="0" fillId="0" fontId="7" numFmtId="164" xfId="0" applyFont="1" applyNumberFormat="1"/>
    <xf borderId="1" fillId="3" fontId="3" numFmtId="0" xfId="0" applyAlignment="1" applyBorder="1" applyFill="1" applyFont="1">
      <alignment horizontal="center"/>
    </xf>
    <xf borderId="1" fillId="4" fontId="3" numFmtId="0" xfId="0" applyBorder="1" applyFill="1" applyFont="1"/>
    <xf borderId="0" fillId="0" fontId="3" numFmtId="0" xfId="0" applyAlignment="1" applyFont="1">
      <alignment horizontal="left"/>
    </xf>
    <xf borderId="0" fillId="0" fontId="4" numFmtId="2" xfId="0" applyFont="1" applyNumberFormat="1"/>
    <xf borderId="5" fillId="0" fontId="3" numFmtId="0" xfId="0" applyAlignment="1" applyBorder="1" applyFont="1">
      <alignment horizontal="left"/>
    </xf>
    <xf borderId="5" fillId="0" fontId="3" numFmtId="164" xfId="0" applyBorder="1" applyFont="1" applyNumberFormat="1"/>
    <xf borderId="5" fillId="0" fontId="3" numFmtId="0" xfId="0" applyBorder="1" applyFont="1"/>
    <xf borderId="0" fillId="0" fontId="8" numFmtId="0" xfId="0" applyAlignment="1" applyFont="1">
      <alignment horizontal="center"/>
    </xf>
    <xf borderId="0" fillId="0" fontId="9" numFmtId="0" xfId="0" applyAlignment="1" applyFont="1">
      <alignment horizontal="center" shrinkToFit="0" wrapText="1"/>
    </xf>
    <xf borderId="0" fillId="0" fontId="9" numFmtId="164" xfId="0" applyFont="1" applyNumberFormat="1"/>
    <xf borderId="0" fillId="0" fontId="9" numFmtId="0" xfId="0" applyFont="1"/>
    <xf borderId="0" fillId="0" fontId="10" numFmtId="0" xfId="0" applyAlignment="1" applyFont="1">
      <alignment horizontal="left"/>
    </xf>
    <xf borderId="0" fillId="0" fontId="10" numFmtId="165" xfId="0" applyFont="1" applyNumberFormat="1"/>
    <xf borderId="0" fillId="0" fontId="11" numFmtId="0" xfId="0" applyAlignment="1" applyFont="1">
      <alignment horizontal="left"/>
    </xf>
    <xf borderId="0" fillId="0" fontId="11" numFmtId="165" xfId="0" applyFont="1" applyNumberFormat="1"/>
    <xf borderId="3" fillId="0" fontId="10" numFmtId="165" xfId="0" applyBorder="1" applyFont="1" applyNumberFormat="1"/>
    <xf borderId="3" fillId="0" fontId="11" numFmtId="0" xfId="0" applyBorder="1" applyFont="1"/>
    <xf borderId="5" fillId="0" fontId="10" numFmtId="165" xfId="0" applyBorder="1" applyFont="1" applyNumberFormat="1"/>
    <xf borderId="0" fillId="0" fontId="11" numFmtId="165" xfId="0" applyAlignment="1" applyFont="1" applyNumberFormat="1">
      <alignment horizontal="center"/>
    </xf>
    <xf borderId="4" fillId="0" fontId="10" numFmtId="0" xfId="0" applyBorder="1" applyFont="1"/>
    <xf borderId="4" fillId="0" fontId="10" numFmtId="165" xfId="0" applyBorder="1" applyFont="1" applyNumberFormat="1"/>
    <xf borderId="1" fillId="5" fontId="3" numFmtId="0" xfId="0" applyBorder="1" applyFill="1" applyFont="1"/>
    <xf borderId="1" fillId="6" fontId="6" numFmtId="164" xfId="0" applyAlignment="1" applyBorder="1" applyFill="1" applyFont="1" applyNumberFormat="1">
      <alignment horizontal="left"/>
    </xf>
    <xf borderId="0" fillId="0" fontId="12" numFmtId="164" xfId="0" applyAlignment="1" applyFont="1" applyNumberFormat="1">
      <alignment horizontal="left"/>
    </xf>
    <xf borderId="0" fillId="0" fontId="11" numFmtId="165" xfId="0" applyAlignment="1" applyFont="1" applyNumberFormat="1">
      <alignment horizontal="right"/>
    </xf>
    <xf borderId="0" fillId="0" fontId="3" numFmtId="3" xfId="0" applyFont="1" applyNumberFormat="1"/>
    <xf borderId="1" fillId="7" fontId="6" numFmtId="164" xfId="0" applyBorder="1" applyFill="1" applyFont="1" applyNumberFormat="1"/>
    <xf borderId="1" fillId="7" fontId="3" numFmtId="164" xfId="0" applyBorder="1" applyFont="1" applyNumberFormat="1"/>
    <xf borderId="0" fillId="0" fontId="4" numFmtId="164" xfId="0" applyAlignment="1" applyFont="1" applyNumberFormat="1">
      <alignment horizontal="left"/>
    </xf>
    <xf borderId="1" fillId="8" fontId="13" numFmtId="165" xfId="0" applyBorder="1" applyFill="1" applyFont="1" applyNumberFormat="1"/>
    <xf borderId="1" fillId="9" fontId="11" numFmtId="165" xfId="0" applyAlignment="1" applyBorder="1" applyFill="1" applyFont="1" applyNumberFormat="1">
      <alignment horizontal="right"/>
    </xf>
    <xf borderId="1" fillId="10" fontId="14" numFmtId="0" xfId="0" applyAlignment="1" applyBorder="1" applyFill="1" applyFont="1">
      <alignment horizontal="center"/>
    </xf>
    <xf borderId="1" fillId="10" fontId="15" numFmtId="0" xfId="0" applyBorder="1" applyFont="1"/>
    <xf borderId="1" fillId="10" fontId="15" numFmtId="0" xfId="0" applyAlignment="1" applyBorder="1" applyFont="1">
      <alignment horizontal="center"/>
    </xf>
    <xf borderId="0" fillId="0" fontId="2" numFmtId="0" xfId="0" applyAlignment="1" applyFont="1">
      <alignment readingOrder="0"/>
    </xf>
    <xf borderId="0" fillId="0" fontId="16" numFmtId="165" xfId="0" applyAlignment="1" applyFont="1" applyNumberFormat="1">
      <alignment horizontal="right"/>
    </xf>
    <xf borderId="0" fillId="0" fontId="2" numFmtId="10" xfId="0" applyFont="1" applyNumberFormat="1"/>
    <xf borderId="6" fillId="0" fontId="14" numFmtId="0" xfId="0" applyAlignment="1" applyBorder="1" applyFont="1">
      <alignment shrinkToFit="0" wrapText="1"/>
    </xf>
    <xf borderId="7" fillId="0" fontId="8" numFmtId="0" xfId="0" applyAlignment="1" applyBorder="1" applyFont="1">
      <alignment shrinkToFit="0" wrapText="1"/>
    </xf>
    <xf borderId="0" fillId="0" fontId="4" numFmtId="10" xfId="0" applyFont="1" applyNumberFormat="1"/>
    <xf borderId="8" fillId="0" fontId="8" numFmtId="0" xfId="0" applyAlignment="1" applyBorder="1" applyFont="1">
      <alignment shrinkToFit="0" wrapText="1"/>
    </xf>
    <xf borderId="0" fillId="0" fontId="12" numFmtId="165" xfId="0" applyAlignment="1" applyFont="1" applyNumberFormat="1">
      <alignment horizontal="right"/>
    </xf>
    <xf borderId="9" fillId="0" fontId="3" numFmtId="164" xfId="0" applyBorder="1" applyFont="1" applyNumberFormat="1"/>
    <xf borderId="6" fillId="0" fontId="3" numFmtId="0" xfId="0" applyAlignment="1" applyBorder="1" applyFont="1">
      <alignment shrinkToFit="0" wrapText="1"/>
    </xf>
    <xf borderId="7" fillId="0" fontId="3" numFmtId="0" xfId="0" applyAlignment="1" applyBorder="1" applyFont="1">
      <alignment shrinkToFit="0" wrapText="1"/>
    </xf>
    <xf borderId="0" fillId="0" fontId="4" numFmtId="4" xfId="0" applyFont="1" applyNumberFormat="1"/>
    <xf borderId="7" fillId="0" fontId="4" numFmtId="0" xfId="0" applyAlignment="1" applyBorder="1" applyFont="1">
      <alignment shrinkToFit="0" wrapText="1"/>
    </xf>
    <xf borderId="8" fillId="0" fontId="3" numFmtId="0" xfId="0" applyAlignment="1" applyBorder="1" applyFont="1">
      <alignment shrinkToFit="0" wrapText="1"/>
    </xf>
    <xf borderId="1" fillId="6" fontId="6" numFmtId="0" xfId="0" applyBorder="1" applyFont="1"/>
    <xf borderId="1" fillId="10" fontId="3" numFmtId="0" xfId="0" applyBorder="1" applyFont="1"/>
    <xf borderId="1" fillId="10" fontId="14" numFmtId="0" xfId="0" applyAlignment="1" applyBorder="1" applyFont="1">
      <alignment horizontal="right"/>
    </xf>
    <xf borderId="0" fillId="0" fontId="4" numFmtId="0" xfId="0" applyAlignment="1" applyFont="1">
      <alignment horizontal="center" readingOrder="0"/>
    </xf>
    <xf borderId="0" fillId="0" fontId="11" numFmtId="10" xfId="0" applyAlignment="1" applyFont="1" applyNumberFormat="1">
      <alignment horizontal="right"/>
    </xf>
    <xf borderId="6" fillId="0" fontId="3" numFmtId="9" xfId="0" applyBorder="1" applyFont="1" applyNumberFormat="1"/>
    <xf borderId="8" fillId="0" fontId="4" numFmtId="0" xfId="0" applyAlignment="1" applyBorder="1" applyFont="1">
      <alignment shrinkToFit="0" wrapText="1"/>
    </xf>
    <xf borderId="0" fillId="0" fontId="17" numFmtId="165" xfId="0" applyAlignment="1" applyFont="1" applyNumberFormat="1">
      <alignment horizontal="right"/>
    </xf>
    <xf borderId="10" fillId="0" fontId="4" numFmtId="0" xfId="0" applyAlignment="1" applyBorder="1" applyFont="1">
      <alignment shrinkToFit="0" wrapText="1"/>
    </xf>
    <xf borderId="7" fillId="0" fontId="4" numFmtId="0" xfId="0" applyBorder="1" applyFont="1"/>
    <xf borderId="11" fillId="0" fontId="3" numFmtId="3" xfId="0" applyBorder="1" applyFont="1" applyNumberFormat="1"/>
    <xf borderId="0" fillId="0" fontId="2" numFmtId="164" xfId="0" applyFont="1" applyNumberFormat="1"/>
    <xf borderId="5" fillId="0" fontId="3" numFmtId="3" xfId="0" applyBorder="1" applyFont="1" applyNumberFormat="1"/>
    <xf borderId="0" fillId="0" fontId="9" numFmtId="166" xfId="0" applyFont="1" applyNumberFormat="1"/>
    <xf borderId="0" fillId="0" fontId="9" numFmtId="3" xfId="0" applyFont="1" applyNumberFormat="1"/>
    <xf borderId="5" fillId="0" fontId="3" numFmtId="167" xfId="0" applyBorder="1" applyFont="1" applyNumberFormat="1"/>
    <xf borderId="5" fillId="0" fontId="4" numFmtId="164" xfId="0" applyBorder="1" applyFont="1" applyNumberFormat="1"/>
    <xf borderId="11" fillId="0" fontId="3" numFmtId="0" xfId="0" applyBorder="1" applyFont="1"/>
    <xf borderId="11" fillId="0" fontId="3" numFmtId="164" xfId="0" applyBorder="1" applyFont="1" applyNumberFormat="1"/>
    <xf borderId="0" fillId="0" fontId="7" numFmtId="3" xfId="0" applyFont="1" applyNumberFormat="1"/>
    <xf borderId="0" fillId="0" fontId="2" numFmtId="3" xfId="0" applyFont="1" applyNumberForma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6.14"/>
    <col customWidth="1" min="2" max="26" width="8.57"/>
  </cols>
  <sheetData>
    <row r="1">
      <c r="A1" s="1" t="s">
        <v>0</v>
      </c>
    </row>
    <row r="2">
      <c r="A2" s="2" t="s">
        <v>1</v>
      </c>
    </row>
    <row r="3">
      <c r="A3" s="3" t="s">
        <v>2</v>
      </c>
    </row>
    <row r="4">
      <c r="A4" s="2" t="s">
        <v>3</v>
      </c>
    </row>
    <row r="6">
      <c r="A6" s="4" t="s">
        <v>4</v>
      </c>
    </row>
    <row r="7">
      <c r="A7" s="4"/>
    </row>
    <row r="8">
      <c r="A8" s="2" t="s">
        <v>5</v>
      </c>
    </row>
    <row r="10">
      <c r="A10" s="2" t="s">
        <v>6</v>
      </c>
    </row>
    <row r="12">
      <c r="A12" s="2" t="s">
        <v>7</v>
      </c>
    </row>
    <row r="14">
      <c r="A14" s="2" t="s">
        <v>8</v>
      </c>
    </row>
    <row r="15">
      <c r="A15" s="5"/>
    </row>
    <row r="16">
      <c r="A16" s="5"/>
    </row>
    <row r="17">
      <c r="A17" s="6"/>
    </row>
    <row r="18">
      <c r="A18" s="6"/>
    </row>
    <row r="19">
      <c r="A19" s="6"/>
    </row>
    <row r="20">
      <c r="A20" s="6"/>
    </row>
    <row r="21" ht="15.75" customHeight="1">
      <c r="A21" s="6"/>
    </row>
    <row r="22" ht="15.75" customHeight="1">
      <c r="A22" s="6"/>
    </row>
    <row r="23" ht="15.75" customHeight="1">
      <c r="A23" s="6"/>
    </row>
    <row r="24" ht="15.75" customHeight="1">
      <c r="A24" s="6"/>
    </row>
    <row r="25" ht="15.75" customHeight="1">
      <c r="A25" s="6"/>
    </row>
    <row r="26" ht="15.75" customHeight="1">
      <c r="A26" s="6"/>
    </row>
    <row r="27" ht="15.75" customHeight="1">
      <c r="A27" s="6"/>
    </row>
    <row r="28" ht="15.75" customHeight="1">
      <c r="A28" s="6"/>
    </row>
    <row r="29" ht="15.75" customHeight="1">
      <c r="A29" s="6"/>
    </row>
    <row r="30" ht="15.75" customHeight="1">
      <c r="A30" s="6"/>
    </row>
    <row r="31" ht="15.75" customHeight="1">
      <c r="A31" s="6"/>
    </row>
    <row r="32" ht="15.75" customHeight="1">
      <c r="A32" s="6"/>
    </row>
    <row r="33" ht="15.75" customHeight="1">
      <c r="A33" s="6"/>
    </row>
    <row r="34" ht="15.75" customHeight="1">
      <c r="A34" s="6"/>
    </row>
    <row r="35" ht="15.75" customHeight="1">
      <c r="A35" s="6"/>
    </row>
    <row r="36" ht="15.75" customHeight="1">
      <c r="A36" s="6"/>
    </row>
    <row r="37" ht="15.75" customHeight="1">
      <c r="A37" s="6"/>
    </row>
    <row r="38" ht="15.75" customHeight="1">
      <c r="A38" s="6"/>
    </row>
    <row r="39" ht="15.75" customHeight="1">
      <c r="A39" s="6"/>
    </row>
    <row r="40" ht="15.75" customHeight="1">
      <c r="A40" s="6"/>
    </row>
    <row r="41" ht="15.75" customHeight="1">
      <c r="A41" s="6"/>
    </row>
    <row r="42" ht="15.75" customHeight="1">
      <c r="A42" s="6"/>
    </row>
    <row r="43" ht="15.75" customHeight="1">
      <c r="A43" s="6"/>
    </row>
    <row r="44" ht="15.75" customHeight="1">
      <c r="A44" s="6"/>
    </row>
    <row r="45" ht="15.75" customHeight="1">
      <c r="A45" s="6"/>
    </row>
    <row r="46" ht="15.75" customHeight="1">
      <c r="A46" s="6"/>
    </row>
    <row r="47" ht="15.75" customHeight="1">
      <c r="A47" s="6"/>
    </row>
    <row r="48" ht="15.75" customHeight="1">
      <c r="A48" s="6"/>
    </row>
    <row r="49" ht="15.75" customHeight="1">
      <c r="A49" s="6"/>
    </row>
    <row r="50" ht="15.75" customHeight="1">
      <c r="A50" s="6"/>
    </row>
    <row r="51" ht="15.75" customHeight="1">
      <c r="A51" s="6"/>
    </row>
    <row r="52" ht="15.75" customHeight="1">
      <c r="A52" s="6"/>
    </row>
    <row r="53" ht="15.75" customHeight="1">
      <c r="A53" s="6"/>
    </row>
    <row r="54" ht="15.75" customHeight="1">
      <c r="A54" s="6"/>
    </row>
    <row r="55" ht="15.75" customHeight="1">
      <c r="A55" s="6"/>
    </row>
    <row r="56" ht="15.75" customHeight="1">
      <c r="A56" s="6"/>
    </row>
    <row r="57" ht="15.75" customHeight="1">
      <c r="A57" s="6"/>
    </row>
    <row r="58" ht="15.75" customHeight="1">
      <c r="A58" s="6"/>
    </row>
    <row r="59" ht="15.75" customHeight="1">
      <c r="A59" s="6"/>
    </row>
    <row r="60" ht="15.75" customHeight="1">
      <c r="A60" s="6"/>
    </row>
    <row r="61" ht="15.75" customHeight="1">
      <c r="A61" s="6"/>
    </row>
    <row r="62" ht="15.75" customHeight="1">
      <c r="A62" s="6"/>
    </row>
    <row r="63" ht="15.75" customHeight="1">
      <c r="A63" s="6"/>
    </row>
    <row r="64" ht="15.75" customHeight="1">
      <c r="A64" s="6"/>
    </row>
    <row r="65" ht="15.75" customHeight="1">
      <c r="A65" s="6"/>
    </row>
    <row r="66" ht="15.75" customHeight="1">
      <c r="A66" s="6"/>
    </row>
    <row r="67" ht="15.75" customHeight="1">
      <c r="A67" s="6"/>
    </row>
    <row r="68" ht="15.75" customHeight="1">
      <c r="A68" s="6"/>
    </row>
    <row r="69" ht="15.75" customHeight="1">
      <c r="A69" s="6"/>
    </row>
    <row r="70" ht="15.75" customHeight="1">
      <c r="A70" s="6"/>
    </row>
    <row r="71" ht="15.75" customHeight="1">
      <c r="A71" s="6"/>
    </row>
    <row r="72" ht="15.75" customHeight="1">
      <c r="A72" s="6"/>
    </row>
    <row r="73" ht="15.75" customHeight="1">
      <c r="A73" s="6"/>
    </row>
    <row r="74" ht="15.75" customHeight="1">
      <c r="A74" s="6"/>
    </row>
    <row r="75" ht="15.75" customHeight="1">
      <c r="A75" s="6"/>
    </row>
    <row r="76" ht="15.75" customHeight="1">
      <c r="A76" s="6"/>
    </row>
    <row r="77" ht="15.75" customHeight="1">
      <c r="A77" s="6"/>
    </row>
    <row r="78" ht="15.75" customHeight="1">
      <c r="A78" s="6"/>
    </row>
    <row r="79" ht="15.75" customHeight="1">
      <c r="A79" s="6"/>
    </row>
    <row r="80" ht="15.75" customHeight="1">
      <c r="A80" s="6"/>
    </row>
    <row r="81" ht="15.75" customHeight="1">
      <c r="A81" s="6"/>
    </row>
    <row r="82" ht="15.75" customHeight="1">
      <c r="A82" s="6"/>
    </row>
    <row r="83" ht="15.75" customHeight="1">
      <c r="A83" s="6"/>
    </row>
    <row r="84" ht="15.75" customHeight="1">
      <c r="A84" s="6"/>
    </row>
    <row r="85" ht="15.75" customHeight="1">
      <c r="A85" s="6"/>
    </row>
    <row r="86" ht="15.75" customHeight="1">
      <c r="A86" s="6"/>
    </row>
    <row r="87" ht="15.75" customHeight="1">
      <c r="A87" s="6"/>
    </row>
    <row r="88" ht="15.75" customHeight="1">
      <c r="A88" s="6"/>
    </row>
    <row r="89" ht="15.75" customHeight="1">
      <c r="A89" s="6"/>
    </row>
    <row r="90" ht="15.75" customHeight="1">
      <c r="A90" s="6"/>
    </row>
    <row r="91" ht="15.75" customHeight="1">
      <c r="A91" s="6"/>
    </row>
    <row r="92" ht="15.75" customHeight="1">
      <c r="A92" s="6"/>
    </row>
    <row r="93" ht="15.75" customHeight="1">
      <c r="A93" s="6"/>
    </row>
    <row r="94" ht="15.75" customHeight="1">
      <c r="A94" s="6"/>
    </row>
    <row r="95" ht="15.75" customHeight="1">
      <c r="A95" s="6"/>
    </row>
    <row r="96" ht="15.75" customHeight="1">
      <c r="A96" s="6"/>
    </row>
    <row r="97" ht="15.75" customHeight="1">
      <c r="A97" s="6"/>
    </row>
    <row r="98" ht="15.75" customHeight="1">
      <c r="A98" s="6"/>
    </row>
    <row r="99" ht="15.75" customHeight="1">
      <c r="A99" s="6"/>
    </row>
    <row r="100" ht="15.75" customHeight="1">
      <c r="A100" s="6"/>
    </row>
    <row r="101" ht="15.75" customHeight="1">
      <c r="A101" s="6"/>
    </row>
    <row r="102" ht="15.75" customHeight="1">
      <c r="A102" s="6"/>
    </row>
    <row r="103" ht="15.75" customHeight="1">
      <c r="A103" s="6"/>
    </row>
    <row r="104" ht="15.75" customHeight="1">
      <c r="A104" s="6"/>
    </row>
    <row r="105" ht="15.75" customHeight="1">
      <c r="A105" s="6"/>
    </row>
    <row r="106" ht="15.75" customHeight="1">
      <c r="A106" s="6"/>
    </row>
    <row r="107" ht="15.75" customHeight="1">
      <c r="A107" s="6"/>
    </row>
    <row r="108" ht="15.75" customHeight="1">
      <c r="A108" s="6"/>
    </row>
    <row r="109" ht="15.75" customHeight="1">
      <c r="A109" s="6"/>
    </row>
    <row r="110" ht="15.75" customHeight="1">
      <c r="A110" s="6"/>
    </row>
    <row r="111" ht="15.75" customHeight="1">
      <c r="A111" s="6"/>
    </row>
    <row r="112" ht="15.75" customHeight="1">
      <c r="A112" s="6"/>
    </row>
    <row r="113" ht="15.75" customHeight="1">
      <c r="A113" s="6"/>
    </row>
    <row r="114" ht="15.75" customHeight="1">
      <c r="A114" s="6"/>
    </row>
    <row r="115" ht="15.75" customHeight="1">
      <c r="A115" s="6"/>
    </row>
    <row r="116" ht="15.75" customHeight="1">
      <c r="A116" s="6"/>
    </row>
    <row r="117" ht="15.75" customHeight="1">
      <c r="A117" s="6"/>
    </row>
    <row r="118" ht="15.75" customHeight="1">
      <c r="A118" s="6"/>
    </row>
    <row r="119" ht="15.75" customHeight="1">
      <c r="A119" s="6"/>
    </row>
    <row r="120" ht="15.75" customHeight="1">
      <c r="A120" s="6"/>
    </row>
    <row r="121" ht="15.75" customHeight="1">
      <c r="A121" s="6"/>
    </row>
    <row r="122" ht="15.75" customHeight="1">
      <c r="A122" s="6"/>
    </row>
    <row r="123" ht="15.75" customHeight="1">
      <c r="A123" s="6"/>
    </row>
    <row r="124" ht="15.75" customHeight="1">
      <c r="A124" s="6"/>
    </row>
    <row r="125" ht="15.75" customHeight="1">
      <c r="A125" s="6"/>
    </row>
    <row r="126" ht="15.75" customHeight="1">
      <c r="A126" s="6"/>
    </row>
    <row r="127" ht="15.75" customHeight="1">
      <c r="A127" s="6"/>
    </row>
    <row r="128" ht="15.75" customHeight="1">
      <c r="A128" s="6"/>
    </row>
    <row r="129" ht="15.75" customHeight="1">
      <c r="A129" s="6"/>
    </row>
    <row r="130" ht="15.75" customHeight="1">
      <c r="A130" s="6"/>
    </row>
    <row r="131" ht="15.75" customHeight="1">
      <c r="A131" s="6"/>
    </row>
    <row r="132" ht="15.75" customHeight="1">
      <c r="A132" s="6"/>
    </row>
    <row r="133" ht="15.75" customHeight="1">
      <c r="A133" s="6"/>
    </row>
    <row r="134" ht="15.75" customHeight="1">
      <c r="A134" s="6"/>
    </row>
    <row r="135" ht="15.75" customHeight="1">
      <c r="A135" s="6"/>
    </row>
    <row r="136" ht="15.75" customHeight="1">
      <c r="A136" s="6"/>
    </row>
    <row r="137" ht="15.75" customHeight="1">
      <c r="A137" s="6"/>
    </row>
    <row r="138" ht="15.75" customHeight="1">
      <c r="A138" s="6"/>
    </row>
    <row r="139" ht="15.75" customHeight="1">
      <c r="A139" s="6"/>
    </row>
    <row r="140" ht="15.75" customHeight="1">
      <c r="A140" s="6"/>
    </row>
    <row r="141" ht="15.75" customHeight="1">
      <c r="A141" s="6"/>
    </row>
    <row r="142" ht="15.75" customHeight="1">
      <c r="A142" s="6"/>
    </row>
    <row r="143" ht="15.75" customHeight="1">
      <c r="A143" s="6"/>
    </row>
    <row r="144" ht="15.75" customHeight="1">
      <c r="A144" s="6"/>
    </row>
    <row r="145" ht="15.75" customHeight="1">
      <c r="A145" s="6"/>
    </row>
    <row r="146" ht="15.75" customHeight="1">
      <c r="A146" s="6"/>
    </row>
    <row r="147" ht="15.75" customHeight="1">
      <c r="A147" s="6"/>
    </row>
    <row r="148" ht="15.75" customHeight="1">
      <c r="A148" s="6"/>
    </row>
    <row r="149" ht="15.75" customHeight="1">
      <c r="A149" s="6"/>
    </row>
    <row r="150" ht="15.75" customHeight="1">
      <c r="A150" s="6"/>
    </row>
    <row r="151" ht="15.75" customHeight="1">
      <c r="A151" s="6"/>
    </row>
    <row r="152" ht="15.75" customHeight="1">
      <c r="A152" s="6"/>
    </row>
    <row r="153" ht="15.75" customHeight="1">
      <c r="A153" s="6"/>
    </row>
    <row r="154" ht="15.75" customHeight="1">
      <c r="A154" s="6"/>
    </row>
    <row r="155" ht="15.75" customHeight="1">
      <c r="A155" s="6"/>
    </row>
    <row r="156" ht="15.75" customHeight="1">
      <c r="A156" s="6"/>
    </row>
    <row r="157" ht="15.75" customHeight="1">
      <c r="A157" s="6"/>
    </row>
    <row r="158" ht="15.75" customHeight="1">
      <c r="A158" s="6"/>
    </row>
    <row r="159" ht="15.75" customHeight="1">
      <c r="A159" s="6"/>
    </row>
    <row r="160" ht="15.75" customHeight="1">
      <c r="A160" s="6"/>
    </row>
    <row r="161" ht="15.75" customHeight="1">
      <c r="A161" s="6"/>
    </row>
    <row r="162" ht="15.75" customHeight="1">
      <c r="A162" s="6"/>
    </row>
    <row r="163" ht="15.75" customHeight="1">
      <c r="A163" s="6"/>
    </row>
    <row r="164" ht="15.75" customHeight="1">
      <c r="A164" s="6"/>
    </row>
    <row r="165" ht="15.75" customHeight="1">
      <c r="A165" s="6"/>
    </row>
    <row r="166" ht="15.75" customHeight="1">
      <c r="A166" s="6"/>
    </row>
    <row r="167" ht="15.75" customHeight="1">
      <c r="A167" s="6"/>
    </row>
    <row r="168" ht="15.75" customHeight="1">
      <c r="A168" s="6"/>
    </row>
    <row r="169" ht="15.75" customHeight="1">
      <c r="A169" s="6"/>
    </row>
    <row r="170" ht="15.75" customHeight="1">
      <c r="A170" s="6"/>
    </row>
    <row r="171" ht="15.75" customHeight="1">
      <c r="A171" s="6"/>
    </row>
    <row r="172" ht="15.75" customHeight="1">
      <c r="A172" s="6"/>
    </row>
    <row r="173" ht="15.75" customHeight="1">
      <c r="A173" s="6"/>
    </row>
    <row r="174" ht="15.75" customHeight="1">
      <c r="A174" s="6"/>
    </row>
    <row r="175" ht="15.75" customHeight="1">
      <c r="A175" s="6"/>
    </row>
    <row r="176" ht="15.75" customHeight="1">
      <c r="A176" s="6"/>
    </row>
    <row r="177" ht="15.75" customHeight="1">
      <c r="A177" s="6"/>
    </row>
    <row r="178" ht="15.75" customHeight="1">
      <c r="A178" s="6"/>
    </row>
    <row r="179" ht="15.75" customHeight="1">
      <c r="A179" s="6"/>
    </row>
    <row r="180" ht="15.75" customHeight="1">
      <c r="A180" s="6"/>
    </row>
    <row r="181" ht="15.75" customHeight="1">
      <c r="A181" s="6"/>
    </row>
    <row r="182" ht="15.75" customHeight="1">
      <c r="A182" s="6"/>
    </row>
    <row r="183" ht="15.75" customHeight="1">
      <c r="A183" s="6"/>
    </row>
    <row r="184" ht="15.75" customHeight="1">
      <c r="A184" s="6"/>
    </row>
    <row r="185" ht="15.75" customHeight="1">
      <c r="A185" s="6"/>
    </row>
    <row r="186" ht="15.75" customHeight="1">
      <c r="A186" s="6"/>
    </row>
    <row r="187" ht="15.75" customHeight="1">
      <c r="A187" s="6"/>
    </row>
    <row r="188" ht="15.75" customHeight="1">
      <c r="A188" s="6"/>
    </row>
    <row r="189" ht="15.75" customHeight="1">
      <c r="A189" s="6"/>
    </row>
    <row r="190" ht="15.75" customHeight="1">
      <c r="A190" s="6"/>
    </row>
    <row r="191" ht="15.75" customHeight="1">
      <c r="A191" s="6"/>
    </row>
    <row r="192" ht="15.75" customHeight="1">
      <c r="A192" s="6"/>
    </row>
    <row r="193" ht="15.75" customHeight="1">
      <c r="A193" s="6"/>
    </row>
    <row r="194" ht="15.75" customHeight="1">
      <c r="A194" s="6"/>
    </row>
    <row r="195" ht="15.75" customHeight="1">
      <c r="A195" s="6"/>
    </row>
    <row r="196" ht="15.75" customHeight="1">
      <c r="A196" s="6"/>
    </row>
    <row r="197" ht="15.75" customHeight="1">
      <c r="A197" s="6"/>
    </row>
    <row r="198" ht="15.75" customHeight="1">
      <c r="A198" s="6"/>
    </row>
    <row r="199" ht="15.75" customHeight="1">
      <c r="A199" s="6"/>
    </row>
    <row r="200" ht="15.75" customHeight="1">
      <c r="A200" s="6"/>
    </row>
    <row r="201" ht="15.75" customHeight="1">
      <c r="A201" s="6"/>
    </row>
    <row r="202" ht="15.75" customHeight="1">
      <c r="A202" s="6"/>
    </row>
    <row r="203" ht="15.75" customHeight="1">
      <c r="A203" s="6"/>
    </row>
    <row r="204" ht="15.75" customHeight="1">
      <c r="A204" s="6"/>
    </row>
    <row r="205" ht="15.75" customHeight="1">
      <c r="A205" s="6"/>
    </row>
    <row r="206" ht="15.75" customHeight="1">
      <c r="A206" s="6"/>
    </row>
    <row r="207" ht="15.75" customHeight="1">
      <c r="A207" s="6"/>
    </row>
    <row r="208" ht="15.75" customHeight="1">
      <c r="A208" s="6"/>
    </row>
    <row r="209" ht="15.75" customHeight="1">
      <c r="A209" s="6"/>
    </row>
    <row r="210" ht="15.75" customHeight="1">
      <c r="A210" s="6"/>
    </row>
    <row r="211" ht="15.75" customHeight="1">
      <c r="A211" s="6"/>
    </row>
    <row r="212" ht="15.75" customHeight="1">
      <c r="A212" s="6"/>
    </row>
    <row r="213" ht="15.75" customHeight="1">
      <c r="A213" s="6"/>
    </row>
    <row r="214" ht="15.75" customHeight="1">
      <c r="A214" s="6"/>
    </row>
    <row r="215" ht="15.75" customHeight="1">
      <c r="A215" s="6"/>
    </row>
    <row r="216" ht="15.75" customHeight="1">
      <c r="A216" s="6"/>
    </row>
    <row r="217" ht="15.75" customHeight="1">
      <c r="A217" s="6"/>
    </row>
    <row r="218" ht="15.75" customHeight="1">
      <c r="A218" s="6"/>
    </row>
    <row r="219" ht="15.75" customHeight="1">
      <c r="A219" s="6"/>
    </row>
    <row r="220" ht="15.75" customHeight="1">
      <c r="A220" s="6"/>
    </row>
    <row r="221" ht="15.75" customHeight="1">
      <c r="A221" s="6"/>
    </row>
    <row r="222" ht="15.75" customHeight="1">
      <c r="A222" s="6"/>
    </row>
    <row r="223" ht="15.75" customHeight="1">
      <c r="A223" s="6"/>
    </row>
    <row r="224" ht="15.75" customHeight="1">
      <c r="A224" s="6"/>
    </row>
    <row r="225" ht="15.75" customHeight="1">
      <c r="A225" s="6"/>
    </row>
    <row r="226" ht="15.75" customHeight="1">
      <c r="A226" s="6"/>
    </row>
    <row r="227" ht="15.75" customHeight="1">
      <c r="A227" s="6"/>
    </row>
    <row r="228" ht="15.75" customHeight="1">
      <c r="A228" s="6"/>
    </row>
    <row r="229" ht="15.75" customHeight="1">
      <c r="A229" s="6"/>
    </row>
    <row r="230" ht="15.75" customHeight="1">
      <c r="A230" s="6"/>
    </row>
    <row r="231" ht="15.75" customHeight="1">
      <c r="A231" s="6"/>
    </row>
    <row r="232" ht="15.75" customHeight="1">
      <c r="A232" s="6"/>
    </row>
    <row r="233" ht="15.75" customHeight="1">
      <c r="A233" s="6"/>
    </row>
    <row r="234" ht="15.75" customHeight="1">
      <c r="A234" s="6"/>
    </row>
    <row r="235" ht="15.75" customHeight="1">
      <c r="A235" s="6"/>
    </row>
    <row r="236" ht="15.75" customHeight="1">
      <c r="A236" s="6"/>
    </row>
    <row r="237" ht="15.75" customHeight="1">
      <c r="A237" s="6"/>
    </row>
    <row r="238" ht="15.75" customHeight="1">
      <c r="A238" s="6"/>
    </row>
    <row r="239" ht="15.75" customHeight="1">
      <c r="A239" s="6"/>
    </row>
    <row r="240" ht="15.75" customHeight="1">
      <c r="A240" s="6"/>
    </row>
    <row r="241" ht="15.75" customHeight="1">
      <c r="A241" s="6"/>
    </row>
    <row r="242" ht="15.75" customHeight="1">
      <c r="A242" s="6"/>
    </row>
    <row r="243" ht="15.75" customHeight="1">
      <c r="A243" s="6"/>
    </row>
    <row r="244" ht="15.75" customHeight="1">
      <c r="A244" s="6"/>
    </row>
    <row r="245" ht="15.75" customHeight="1">
      <c r="A245" s="6"/>
    </row>
    <row r="246" ht="15.75" customHeight="1">
      <c r="A246" s="6"/>
    </row>
    <row r="247" ht="15.75" customHeight="1">
      <c r="A247" s="6"/>
    </row>
    <row r="248" ht="15.75" customHeight="1">
      <c r="A248" s="6"/>
    </row>
    <row r="249" ht="15.75" customHeight="1">
      <c r="A249" s="6"/>
    </row>
    <row r="250" ht="15.75" customHeight="1">
      <c r="A250" s="6"/>
    </row>
    <row r="251" ht="15.75" customHeight="1">
      <c r="A251" s="6"/>
    </row>
    <row r="252" ht="15.75" customHeight="1">
      <c r="A252" s="6"/>
    </row>
    <row r="253" ht="15.75" customHeight="1">
      <c r="A253" s="6"/>
    </row>
    <row r="254" ht="15.75" customHeight="1">
      <c r="A254" s="6"/>
    </row>
    <row r="255" ht="15.75" customHeight="1">
      <c r="A255" s="6"/>
    </row>
    <row r="256" ht="15.75" customHeight="1">
      <c r="A256" s="6"/>
    </row>
    <row r="257" ht="15.75" customHeight="1">
      <c r="A257" s="6"/>
    </row>
    <row r="258" ht="15.75" customHeight="1">
      <c r="A258" s="6"/>
    </row>
    <row r="259" ht="15.75" customHeight="1">
      <c r="A259" s="6"/>
    </row>
    <row r="260" ht="15.75" customHeight="1">
      <c r="A260" s="6"/>
    </row>
    <row r="261" ht="15.75" customHeight="1">
      <c r="A261" s="6"/>
    </row>
    <row r="262" ht="15.75" customHeight="1">
      <c r="A262" s="6"/>
    </row>
    <row r="263" ht="15.75" customHeight="1">
      <c r="A263" s="6"/>
    </row>
    <row r="264" ht="15.75" customHeight="1">
      <c r="A264" s="6"/>
    </row>
    <row r="265" ht="15.75" customHeight="1">
      <c r="A265" s="6"/>
    </row>
    <row r="266" ht="15.75" customHeight="1">
      <c r="A266" s="6"/>
    </row>
    <row r="267" ht="15.75" customHeight="1">
      <c r="A267" s="6"/>
    </row>
    <row r="268" ht="15.75" customHeight="1">
      <c r="A268" s="6"/>
    </row>
    <row r="269" ht="15.75" customHeight="1">
      <c r="A269" s="6"/>
    </row>
    <row r="270" ht="15.75" customHeight="1">
      <c r="A270" s="6"/>
    </row>
    <row r="271" ht="15.75" customHeight="1">
      <c r="A271" s="6"/>
    </row>
    <row r="272" ht="15.75" customHeight="1">
      <c r="A272" s="6"/>
    </row>
    <row r="273" ht="15.75" customHeight="1">
      <c r="A273" s="6"/>
    </row>
    <row r="274" ht="15.75" customHeight="1">
      <c r="A274" s="6"/>
    </row>
    <row r="275" ht="15.75" customHeight="1">
      <c r="A275" s="6"/>
    </row>
    <row r="276" ht="15.75" customHeight="1">
      <c r="A276" s="6"/>
    </row>
    <row r="277" ht="15.75" customHeight="1">
      <c r="A277" s="6"/>
    </row>
    <row r="278" ht="15.75" customHeight="1">
      <c r="A278" s="6"/>
    </row>
    <row r="279" ht="15.75" customHeight="1">
      <c r="A279" s="6"/>
    </row>
    <row r="280" ht="15.75" customHeight="1">
      <c r="A280" s="6"/>
    </row>
    <row r="281" ht="15.75" customHeight="1">
      <c r="A281" s="6"/>
    </row>
    <row r="282" ht="15.75" customHeight="1">
      <c r="A282" s="6"/>
    </row>
    <row r="283" ht="15.75" customHeight="1">
      <c r="A283" s="6"/>
    </row>
    <row r="284" ht="15.75" customHeight="1">
      <c r="A284" s="6"/>
    </row>
    <row r="285" ht="15.75" customHeight="1">
      <c r="A285" s="6"/>
    </row>
    <row r="286" ht="15.75" customHeight="1">
      <c r="A286" s="6"/>
    </row>
    <row r="287" ht="15.75" customHeight="1">
      <c r="A287" s="6"/>
    </row>
    <row r="288" ht="15.75" customHeight="1">
      <c r="A288" s="6"/>
    </row>
    <row r="289" ht="15.75" customHeight="1">
      <c r="A289" s="6"/>
    </row>
    <row r="290" ht="15.75" customHeight="1">
      <c r="A290" s="6"/>
    </row>
    <row r="291" ht="15.75" customHeight="1">
      <c r="A291" s="6"/>
    </row>
    <row r="292" ht="15.75" customHeight="1">
      <c r="A292" s="6"/>
    </row>
    <row r="293" ht="15.75" customHeight="1">
      <c r="A293" s="6"/>
    </row>
    <row r="294" ht="15.75" customHeight="1">
      <c r="A294" s="6"/>
    </row>
    <row r="295" ht="15.75" customHeight="1">
      <c r="A295" s="6"/>
    </row>
    <row r="296" ht="15.75" customHeight="1">
      <c r="A296" s="6"/>
    </row>
    <row r="297" ht="15.75" customHeight="1">
      <c r="A297" s="6"/>
    </row>
    <row r="298" ht="15.75" customHeight="1">
      <c r="A298" s="6"/>
    </row>
    <row r="299" ht="15.75" customHeight="1">
      <c r="A299" s="6"/>
    </row>
    <row r="300" ht="15.75" customHeight="1">
      <c r="A300" s="6"/>
    </row>
    <row r="301" ht="15.75" customHeight="1">
      <c r="A301" s="6"/>
    </row>
    <row r="302" ht="15.75" customHeight="1">
      <c r="A302" s="6"/>
    </row>
    <row r="303" ht="15.75" customHeight="1">
      <c r="A303" s="6"/>
    </row>
    <row r="304" ht="15.75" customHeight="1">
      <c r="A304" s="6"/>
    </row>
    <row r="305" ht="15.75" customHeight="1">
      <c r="A305" s="6"/>
    </row>
    <row r="306" ht="15.75" customHeight="1">
      <c r="A306" s="6"/>
    </row>
    <row r="307" ht="15.75" customHeight="1">
      <c r="A307" s="6"/>
    </row>
    <row r="308" ht="15.75" customHeight="1">
      <c r="A308" s="6"/>
    </row>
    <row r="309" ht="15.75" customHeight="1">
      <c r="A309" s="6"/>
    </row>
    <row r="310" ht="15.75" customHeight="1">
      <c r="A310" s="6"/>
    </row>
    <row r="311" ht="15.75" customHeight="1">
      <c r="A311" s="6"/>
    </row>
    <row r="312" ht="15.75" customHeight="1">
      <c r="A312" s="6"/>
    </row>
    <row r="313" ht="15.75" customHeight="1">
      <c r="A313" s="6"/>
    </row>
    <row r="314" ht="15.75" customHeight="1">
      <c r="A314" s="6"/>
    </row>
    <row r="315" ht="15.75" customHeight="1">
      <c r="A315" s="6"/>
    </row>
    <row r="316" ht="15.75" customHeight="1">
      <c r="A316" s="6"/>
    </row>
    <row r="317" ht="15.75" customHeight="1">
      <c r="A317" s="6"/>
    </row>
    <row r="318" ht="15.75" customHeight="1">
      <c r="A318" s="6"/>
    </row>
    <row r="319" ht="15.75" customHeight="1">
      <c r="A319" s="6"/>
    </row>
    <row r="320" ht="15.75" customHeight="1">
      <c r="A320" s="6"/>
    </row>
    <row r="321" ht="15.75" customHeight="1">
      <c r="A321" s="6"/>
    </row>
    <row r="322" ht="15.75" customHeight="1">
      <c r="A322" s="6"/>
    </row>
    <row r="323" ht="15.75" customHeight="1">
      <c r="A323" s="6"/>
    </row>
    <row r="324" ht="15.75" customHeight="1">
      <c r="A324" s="6"/>
    </row>
    <row r="325" ht="15.75" customHeight="1">
      <c r="A325" s="6"/>
    </row>
    <row r="326" ht="15.75" customHeight="1">
      <c r="A326" s="6"/>
    </row>
    <row r="327" ht="15.75" customHeight="1">
      <c r="A327" s="6"/>
    </row>
    <row r="328" ht="15.75" customHeight="1">
      <c r="A328" s="6"/>
    </row>
    <row r="329" ht="15.75" customHeight="1">
      <c r="A329" s="6"/>
    </row>
    <row r="330" ht="15.75" customHeight="1">
      <c r="A330" s="6"/>
    </row>
    <row r="331" ht="15.75" customHeight="1">
      <c r="A331" s="6"/>
    </row>
    <row r="332" ht="15.75" customHeight="1">
      <c r="A332" s="6"/>
    </row>
    <row r="333" ht="15.75" customHeight="1">
      <c r="A333" s="6"/>
    </row>
    <row r="334" ht="15.75" customHeight="1">
      <c r="A334" s="6"/>
    </row>
    <row r="335" ht="15.75" customHeight="1">
      <c r="A335" s="6"/>
    </row>
    <row r="336" ht="15.75" customHeight="1">
      <c r="A336" s="6"/>
    </row>
    <row r="337" ht="15.75" customHeight="1">
      <c r="A337" s="6"/>
    </row>
    <row r="338" ht="15.75" customHeight="1">
      <c r="A338" s="6"/>
    </row>
    <row r="339" ht="15.75" customHeight="1">
      <c r="A339" s="6"/>
    </row>
    <row r="340" ht="15.75" customHeight="1">
      <c r="A340" s="6"/>
    </row>
    <row r="341" ht="15.75" customHeight="1">
      <c r="A341" s="6"/>
    </row>
    <row r="342" ht="15.75" customHeight="1">
      <c r="A342" s="6"/>
    </row>
    <row r="343" ht="15.75" customHeight="1">
      <c r="A343" s="6"/>
    </row>
    <row r="344" ht="15.75" customHeight="1">
      <c r="A344" s="6"/>
    </row>
    <row r="345" ht="15.75" customHeight="1">
      <c r="A345" s="6"/>
    </row>
    <row r="346" ht="15.75" customHeight="1">
      <c r="A346" s="6"/>
    </row>
    <row r="347" ht="15.75" customHeight="1">
      <c r="A347" s="6"/>
    </row>
    <row r="348" ht="15.75" customHeight="1">
      <c r="A348" s="6"/>
    </row>
    <row r="349" ht="15.75" customHeight="1">
      <c r="A349" s="6"/>
    </row>
    <row r="350" ht="15.75" customHeight="1">
      <c r="A350" s="6"/>
    </row>
    <row r="351" ht="15.75" customHeight="1">
      <c r="A351" s="6"/>
    </row>
    <row r="352" ht="15.75" customHeight="1">
      <c r="A352" s="6"/>
    </row>
    <row r="353" ht="15.75" customHeight="1">
      <c r="A353" s="6"/>
    </row>
    <row r="354" ht="15.75" customHeight="1">
      <c r="A354" s="6"/>
    </row>
    <row r="355" ht="15.75" customHeight="1">
      <c r="A355" s="6"/>
    </row>
    <row r="356" ht="15.75" customHeight="1">
      <c r="A356" s="6"/>
    </row>
    <row r="357" ht="15.75" customHeight="1">
      <c r="A357" s="6"/>
    </row>
    <row r="358" ht="15.75" customHeight="1">
      <c r="A358" s="6"/>
    </row>
    <row r="359" ht="15.75" customHeight="1">
      <c r="A359" s="6"/>
    </row>
    <row r="360" ht="15.75" customHeight="1">
      <c r="A360" s="6"/>
    </row>
    <row r="361" ht="15.75" customHeight="1">
      <c r="A361" s="6"/>
    </row>
    <row r="362" ht="15.75" customHeight="1">
      <c r="A362" s="6"/>
    </row>
    <row r="363" ht="15.75" customHeight="1">
      <c r="A363" s="6"/>
    </row>
    <row r="364" ht="15.75" customHeight="1">
      <c r="A364" s="6"/>
    </row>
    <row r="365" ht="15.75" customHeight="1">
      <c r="A365" s="6"/>
    </row>
    <row r="366" ht="15.75" customHeight="1">
      <c r="A366" s="6"/>
    </row>
    <row r="367" ht="15.75" customHeight="1">
      <c r="A367" s="6"/>
    </row>
    <row r="368" ht="15.75" customHeight="1">
      <c r="A368" s="6"/>
    </row>
    <row r="369" ht="15.75" customHeight="1">
      <c r="A369" s="6"/>
    </row>
    <row r="370" ht="15.75" customHeight="1">
      <c r="A370" s="6"/>
    </row>
    <row r="371" ht="15.75" customHeight="1">
      <c r="A371" s="6"/>
    </row>
    <row r="372" ht="15.75" customHeight="1">
      <c r="A372" s="6"/>
    </row>
    <row r="373" ht="15.75" customHeight="1">
      <c r="A373" s="6"/>
    </row>
    <row r="374" ht="15.75" customHeight="1">
      <c r="A374" s="6"/>
    </row>
    <row r="375" ht="15.75" customHeight="1">
      <c r="A375" s="6"/>
    </row>
    <row r="376" ht="15.75" customHeight="1">
      <c r="A376" s="6"/>
    </row>
    <row r="377" ht="15.75" customHeight="1">
      <c r="A377" s="6"/>
    </row>
    <row r="378" ht="15.75" customHeight="1">
      <c r="A378" s="6"/>
    </row>
    <row r="379" ht="15.75" customHeight="1">
      <c r="A379" s="6"/>
    </row>
    <row r="380" ht="15.75" customHeight="1">
      <c r="A380" s="6"/>
    </row>
    <row r="381" ht="15.75" customHeight="1">
      <c r="A381" s="6"/>
    </row>
    <row r="382" ht="15.75" customHeight="1">
      <c r="A382" s="6"/>
    </row>
    <row r="383" ht="15.75" customHeight="1">
      <c r="A383" s="6"/>
    </row>
    <row r="384" ht="15.75" customHeight="1">
      <c r="A384" s="6"/>
    </row>
    <row r="385" ht="15.75" customHeight="1">
      <c r="A385" s="6"/>
    </row>
    <row r="386" ht="15.75" customHeight="1">
      <c r="A386" s="6"/>
    </row>
    <row r="387" ht="15.75" customHeight="1">
      <c r="A387" s="6"/>
    </row>
    <row r="388" ht="15.75" customHeight="1">
      <c r="A388" s="6"/>
    </row>
    <row r="389" ht="15.75" customHeight="1">
      <c r="A389" s="6"/>
    </row>
    <row r="390" ht="15.75" customHeight="1">
      <c r="A390" s="6"/>
    </row>
    <row r="391" ht="15.75" customHeight="1">
      <c r="A391" s="6"/>
    </row>
    <row r="392" ht="15.75" customHeight="1">
      <c r="A392" s="6"/>
    </row>
    <row r="393" ht="15.75" customHeight="1">
      <c r="A393" s="6"/>
    </row>
    <row r="394" ht="15.75" customHeight="1">
      <c r="A394" s="6"/>
    </row>
    <row r="395" ht="15.75" customHeight="1">
      <c r="A395" s="6"/>
    </row>
    <row r="396" ht="15.75" customHeight="1">
      <c r="A396" s="6"/>
    </row>
    <row r="397" ht="15.75" customHeight="1">
      <c r="A397" s="6"/>
    </row>
    <row r="398" ht="15.75" customHeight="1">
      <c r="A398" s="6"/>
    </row>
    <row r="399" ht="15.75" customHeight="1">
      <c r="A399" s="6"/>
    </row>
    <row r="400" ht="15.75" customHeight="1">
      <c r="A400" s="6"/>
    </row>
    <row r="401" ht="15.75" customHeight="1">
      <c r="A401" s="6"/>
    </row>
    <row r="402" ht="15.75" customHeight="1">
      <c r="A402" s="6"/>
    </row>
    <row r="403" ht="15.75" customHeight="1">
      <c r="A403" s="6"/>
    </row>
    <row r="404" ht="15.75" customHeight="1">
      <c r="A404" s="6"/>
    </row>
    <row r="405" ht="15.75" customHeight="1">
      <c r="A405" s="6"/>
    </row>
    <row r="406" ht="15.75" customHeight="1">
      <c r="A406" s="6"/>
    </row>
    <row r="407" ht="15.75" customHeight="1">
      <c r="A407" s="6"/>
    </row>
    <row r="408" ht="15.75" customHeight="1">
      <c r="A408" s="6"/>
    </row>
    <row r="409" ht="15.75" customHeight="1">
      <c r="A409" s="6"/>
    </row>
    <row r="410" ht="15.75" customHeight="1">
      <c r="A410" s="6"/>
    </row>
    <row r="411" ht="15.75" customHeight="1">
      <c r="A411" s="6"/>
    </row>
    <row r="412" ht="15.75" customHeight="1">
      <c r="A412" s="6"/>
    </row>
    <row r="413" ht="15.75" customHeight="1">
      <c r="A413" s="6"/>
    </row>
    <row r="414" ht="15.75" customHeight="1">
      <c r="A414" s="6"/>
    </row>
    <row r="415" ht="15.75" customHeight="1">
      <c r="A415" s="6"/>
    </row>
    <row r="416" ht="15.75" customHeight="1">
      <c r="A416" s="6"/>
    </row>
    <row r="417" ht="15.75" customHeight="1">
      <c r="A417" s="6"/>
    </row>
    <row r="418" ht="15.75" customHeight="1">
      <c r="A418" s="6"/>
    </row>
    <row r="419" ht="15.75" customHeight="1">
      <c r="A419" s="6"/>
    </row>
    <row r="420" ht="15.75" customHeight="1">
      <c r="A420" s="6"/>
    </row>
    <row r="421" ht="15.75" customHeight="1">
      <c r="A421" s="6"/>
    </row>
    <row r="422" ht="15.75" customHeight="1">
      <c r="A422" s="6"/>
    </row>
    <row r="423" ht="15.75" customHeight="1">
      <c r="A423" s="6"/>
    </row>
    <row r="424" ht="15.75" customHeight="1">
      <c r="A424" s="6"/>
    </row>
    <row r="425" ht="15.75" customHeight="1">
      <c r="A425" s="6"/>
    </row>
    <row r="426" ht="15.75" customHeight="1">
      <c r="A426" s="6"/>
    </row>
    <row r="427" ht="15.75" customHeight="1">
      <c r="A427" s="6"/>
    </row>
    <row r="428" ht="15.75" customHeight="1">
      <c r="A428" s="6"/>
    </row>
    <row r="429" ht="15.75" customHeight="1">
      <c r="A429" s="6"/>
    </row>
    <row r="430" ht="15.75" customHeight="1">
      <c r="A430" s="6"/>
    </row>
    <row r="431" ht="15.75" customHeight="1">
      <c r="A431" s="6"/>
    </row>
    <row r="432" ht="15.75" customHeight="1">
      <c r="A432" s="6"/>
    </row>
    <row r="433" ht="15.75" customHeight="1">
      <c r="A433" s="6"/>
    </row>
    <row r="434" ht="15.75" customHeight="1">
      <c r="A434" s="6"/>
    </row>
    <row r="435" ht="15.75" customHeight="1">
      <c r="A435" s="6"/>
    </row>
    <row r="436" ht="15.75" customHeight="1">
      <c r="A436" s="6"/>
    </row>
    <row r="437" ht="15.75" customHeight="1">
      <c r="A437" s="6"/>
    </row>
    <row r="438" ht="15.75" customHeight="1">
      <c r="A438" s="6"/>
    </row>
    <row r="439" ht="15.75" customHeight="1">
      <c r="A439" s="6"/>
    </row>
    <row r="440" ht="15.75" customHeight="1">
      <c r="A440" s="6"/>
    </row>
    <row r="441" ht="15.75" customHeight="1">
      <c r="A441" s="6"/>
    </row>
    <row r="442" ht="15.75" customHeight="1">
      <c r="A442" s="6"/>
    </row>
    <row r="443" ht="15.75" customHeight="1">
      <c r="A443" s="6"/>
    </row>
    <row r="444" ht="15.75" customHeight="1">
      <c r="A444" s="6"/>
    </row>
    <row r="445" ht="15.75" customHeight="1">
      <c r="A445" s="6"/>
    </row>
    <row r="446" ht="15.75" customHeight="1">
      <c r="A446" s="6"/>
    </row>
    <row r="447" ht="15.75" customHeight="1">
      <c r="A447" s="6"/>
    </row>
    <row r="448" ht="15.75" customHeight="1">
      <c r="A448" s="6"/>
    </row>
    <row r="449" ht="15.75" customHeight="1">
      <c r="A449" s="6"/>
    </row>
    <row r="450" ht="15.75" customHeight="1">
      <c r="A450" s="6"/>
    </row>
    <row r="451" ht="15.75" customHeight="1">
      <c r="A451" s="6"/>
    </row>
    <row r="452" ht="15.75" customHeight="1">
      <c r="A452" s="6"/>
    </row>
    <row r="453" ht="15.75" customHeight="1">
      <c r="A453" s="6"/>
    </row>
    <row r="454" ht="15.75" customHeight="1">
      <c r="A454" s="6"/>
    </row>
    <row r="455" ht="15.75" customHeight="1">
      <c r="A455" s="6"/>
    </row>
    <row r="456" ht="15.75" customHeight="1">
      <c r="A456" s="6"/>
    </row>
    <row r="457" ht="15.75" customHeight="1">
      <c r="A457" s="6"/>
    </row>
    <row r="458" ht="15.75" customHeight="1">
      <c r="A458" s="6"/>
    </row>
    <row r="459" ht="15.75" customHeight="1">
      <c r="A459" s="6"/>
    </row>
    <row r="460" ht="15.75" customHeight="1">
      <c r="A460" s="6"/>
    </row>
    <row r="461" ht="15.75" customHeight="1">
      <c r="A461" s="6"/>
    </row>
    <row r="462" ht="15.75" customHeight="1">
      <c r="A462" s="6"/>
    </row>
    <row r="463" ht="15.75" customHeight="1">
      <c r="A463" s="6"/>
    </row>
    <row r="464" ht="15.75" customHeight="1">
      <c r="A464" s="6"/>
    </row>
    <row r="465" ht="15.75" customHeight="1">
      <c r="A465" s="6"/>
    </row>
    <row r="466" ht="15.75" customHeight="1">
      <c r="A466" s="6"/>
    </row>
    <row r="467" ht="15.75" customHeight="1">
      <c r="A467" s="6"/>
    </row>
    <row r="468" ht="15.75" customHeight="1">
      <c r="A468" s="6"/>
    </row>
    <row r="469" ht="15.75" customHeight="1">
      <c r="A469" s="6"/>
    </row>
    <row r="470" ht="15.75" customHeight="1">
      <c r="A470" s="6"/>
    </row>
    <row r="471" ht="15.75" customHeight="1">
      <c r="A471" s="6"/>
    </row>
    <row r="472" ht="15.75" customHeight="1">
      <c r="A472" s="6"/>
    </row>
    <row r="473" ht="15.75" customHeight="1">
      <c r="A473" s="6"/>
    </row>
    <row r="474" ht="15.75" customHeight="1">
      <c r="A474" s="6"/>
    </row>
    <row r="475" ht="15.75" customHeight="1">
      <c r="A475" s="6"/>
    </row>
    <row r="476" ht="15.75" customHeight="1">
      <c r="A476" s="6"/>
    </row>
    <row r="477" ht="15.75" customHeight="1">
      <c r="A477" s="6"/>
    </row>
    <row r="478" ht="15.75" customHeight="1">
      <c r="A478" s="6"/>
    </row>
    <row r="479" ht="15.75" customHeight="1">
      <c r="A479" s="6"/>
    </row>
    <row r="480" ht="15.75" customHeight="1">
      <c r="A480" s="6"/>
    </row>
    <row r="481" ht="15.75" customHeight="1">
      <c r="A481" s="6"/>
    </row>
    <row r="482" ht="15.75" customHeight="1">
      <c r="A482" s="6"/>
    </row>
    <row r="483" ht="15.75" customHeight="1">
      <c r="A483" s="6"/>
    </row>
    <row r="484" ht="15.75" customHeight="1">
      <c r="A484" s="6"/>
    </row>
    <row r="485" ht="15.75" customHeight="1">
      <c r="A485" s="6"/>
    </row>
    <row r="486" ht="15.75" customHeight="1">
      <c r="A486" s="6"/>
    </row>
    <row r="487" ht="15.75" customHeight="1">
      <c r="A487" s="6"/>
    </row>
    <row r="488" ht="15.75" customHeight="1">
      <c r="A488" s="6"/>
    </row>
    <row r="489" ht="15.75" customHeight="1">
      <c r="A489" s="6"/>
    </row>
    <row r="490" ht="15.75" customHeight="1">
      <c r="A490" s="6"/>
    </row>
    <row r="491" ht="15.75" customHeight="1">
      <c r="A491" s="6"/>
    </row>
    <row r="492" ht="15.75" customHeight="1">
      <c r="A492" s="6"/>
    </row>
    <row r="493" ht="15.75" customHeight="1">
      <c r="A493" s="6"/>
    </row>
    <row r="494" ht="15.75" customHeight="1">
      <c r="A494" s="6"/>
    </row>
    <row r="495" ht="15.75" customHeight="1">
      <c r="A495" s="6"/>
    </row>
    <row r="496" ht="15.75" customHeight="1">
      <c r="A496" s="6"/>
    </row>
    <row r="497" ht="15.75" customHeight="1">
      <c r="A497" s="6"/>
    </row>
    <row r="498" ht="15.75" customHeight="1">
      <c r="A498" s="6"/>
    </row>
    <row r="499" ht="15.75" customHeight="1">
      <c r="A499" s="6"/>
    </row>
    <row r="500" ht="15.75" customHeight="1">
      <c r="A500" s="6"/>
    </row>
    <row r="501" ht="15.75" customHeight="1">
      <c r="A501" s="6"/>
    </row>
    <row r="502" ht="15.75" customHeight="1">
      <c r="A502" s="6"/>
    </row>
    <row r="503" ht="15.75" customHeight="1">
      <c r="A503" s="6"/>
    </row>
    <row r="504" ht="15.75" customHeight="1">
      <c r="A504" s="6"/>
    </row>
    <row r="505" ht="15.75" customHeight="1">
      <c r="A505" s="6"/>
    </row>
    <row r="506" ht="15.75" customHeight="1">
      <c r="A506" s="6"/>
    </row>
    <row r="507" ht="15.75" customHeight="1">
      <c r="A507" s="6"/>
    </row>
    <row r="508" ht="15.75" customHeight="1">
      <c r="A508" s="6"/>
    </row>
    <row r="509" ht="15.75" customHeight="1">
      <c r="A509" s="6"/>
    </row>
    <row r="510" ht="15.75" customHeight="1">
      <c r="A510" s="6"/>
    </row>
    <row r="511" ht="15.75" customHeight="1">
      <c r="A511" s="6"/>
    </row>
    <row r="512" ht="15.75" customHeight="1">
      <c r="A512" s="6"/>
    </row>
    <row r="513" ht="15.75" customHeight="1">
      <c r="A513" s="6"/>
    </row>
    <row r="514" ht="15.75" customHeight="1">
      <c r="A514" s="6"/>
    </row>
    <row r="515" ht="15.75" customHeight="1">
      <c r="A515" s="6"/>
    </row>
    <row r="516" ht="15.75" customHeight="1">
      <c r="A516" s="6"/>
    </row>
    <row r="517" ht="15.75" customHeight="1">
      <c r="A517" s="6"/>
    </row>
    <row r="518" ht="15.75" customHeight="1">
      <c r="A518" s="6"/>
    </row>
    <row r="519" ht="15.75" customHeight="1">
      <c r="A519" s="6"/>
    </row>
    <row r="520" ht="15.75" customHeight="1">
      <c r="A520" s="6"/>
    </row>
    <row r="521" ht="15.75" customHeight="1">
      <c r="A521" s="6"/>
    </row>
    <row r="522" ht="15.75" customHeight="1">
      <c r="A522" s="6"/>
    </row>
    <row r="523" ht="15.75" customHeight="1">
      <c r="A523" s="6"/>
    </row>
    <row r="524" ht="15.75" customHeight="1">
      <c r="A524" s="6"/>
    </row>
    <row r="525" ht="15.75" customHeight="1">
      <c r="A525" s="6"/>
    </row>
    <row r="526" ht="15.75" customHeight="1">
      <c r="A526" s="6"/>
    </row>
    <row r="527" ht="15.75" customHeight="1">
      <c r="A527" s="6"/>
    </row>
    <row r="528" ht="15.75" customHeight="1">
      <c r="A528" s="6"/>
    </row>
    <row r="529" ht="15.75" customHeight="1">
      <c r="A529" s="6"/>
    </row>
    <row r="530" ht="15.75" customHeight="1">
      <c r="A530" s="6"/>
    </row>
    <row r="531" ht="15.75" customHeight="1">
      <c r="A531" s="6"/>
    </row>
    <row r="532" ht="15.75" customHeight="1">
      <c r="A532" s="6"/>
    </row>
    <row r="533" ht="15.75" customHeight="1">
      <c r="A533" s="6"/>
    </row>
    <row r="534" ht="15.75" customHeight="1">
      <c r="A534" s="6"/>
    </row>
    <row r="535" ht="15.75" customHeight="1">
      <c r="A535" s="6"/>
    </row>
    <row r="536" ht="15.75" customHeight="1">
      <c r="A536" s="6"/>
    </row>
    <row r="537" ht="15.75" customHeight="1">
      <c r="A537" s="6"/>
    </row>
    <row r="538" ht="15.75" customHeight="1">
      <c r="A538" s="6"/>
    </row>
    <row r="539" ht="15.75" customHeight="1">
      <c r="A539" s="6"/>
    </row>
    <row r="540" ht="15.75" customHeight="1">
      <c r="A540" s="6"/>
    </row>
    <row r="541" ht="15.75" customHeight="1">
      <c r="A541" s="6"/>
    </row>
    <row r="542" ht="15.75" customHeight="1">
      <c r="A542" s="6"/>
    </row>
    <row r="543" ht="15.75" customHeight="1">
      <c r="A543" s="6"/>
    </row>
    <row r="544" ht="15.75" customHeight="1">
      <c r="A544" s="6"/>
    </row>
    <row r="545" ht="15.75" customHeight="1">
      <c r="A545" s="6"/>
    </row>
    <row r="546" ht="15.75" customHeight="1">
      <c r="A546" s="6"/>
    </row>
    <row r="547" ht="15.75" customHeight="1">
      <c r="A547" s="6"/>
    </row>
    <row r="548" ht="15.75" customHeight="1">
      <c r="A548" s="6"/>
    </row>
    <row r="549" ht="15.75" customHeight="1">
      <c r="A549" s="6"/>
    </row>
    <row r="550" ht="15.75" customHeight="1">
      <c r="A550" s="6"/>
    </row>
    <row r="551" ht="15.75" customHeight="1">
      <c r="A551" s="6"/>
    </row>
    <row r="552" ht="15.75" customHeight="1">
      <c r="A552" s="6"/>
    </row>
    <row r="553" ht="15.75" customHeight="1">
      <c r="A553" s="6"/>
    </row>
    <row r="554" ht="15.75" customHeight="1">
      <c r="A554" s="6"/>
    </row>
    <row r="555" ht="15.75" customHeight="1">
      <c r="A555" s="6"/>
    </row>
    <row r="556" ht="15.75" customHeight="1">
      <c r="A556" s="6"/>
    </row>
    <row r="557" ht="15.75" customHeight="1">
      <c r="A557" s="6"/>
    </row>
    <row r="558" ht="15.75" customHeight="1">
      <c r="A558" s="6"/>
    </row>
    <row r="559" ht="15.75" customHeight="1">
      <c r="A559" s="6"/>
    </row>
    <row r="560" ht="15.75" customHeight="1">
      <c r="A560" s="6"/>
    </row>
    <row r="561" ht="15.75" customHeight="1">
      <c r="A561" s="6"/>
    </row>
    <row r="562" ht="15.75" customHeight="1">
      <c r="A562" s="6"/>
    </row>
    <row r="563" ht="15.75" customHeight="1">
      <c r="A563" s="6"/>
    </row>
    <row r="564" ht="15.75" customHeight="1">
      <c r="A564" s="6"/>
    </row>
    <row r="565" ht="15.75" customHeight="1">
      <c r="A565" s="6"/>
    </row>
    <row r="566" ht="15.75" customHeight="1">
      <c r="A566" s="6"/>
    </row>
    <row r="567" ht="15.75" customHeight="1">
      <c r="A567" s="6"/>
    </row>
    <row r="568" ht="15.75" customHeight="1">
      <c r="A568" s="6"/>
    </row>
    <row r="569" ht="15.75" customHeight="1">
      <c r="A569" s="6"/>
    </row>
    <row r="570" ht="15.75" customHeight="1">
      <c r="A570" s="6"/>
    </row>
    <row r="571" ht="15.75" customHeight="1">
      <c r="A571" s="6"/>
    </row>
    <row r="572" ht="15.75" customHeight="1">
      <c r="A572" s="6"/>
    </row>
    <row r="573" ht="15.75" customHeight="1">
      <c r="A573" s="6"/>
    </row>
    <row r="574" ht="15.75" customHeight="1">
      <c r="A574" s="6"/>
    </row>
    <row r="575" ht="15.75" customHeight="1">
      <c r="A575" s="6"/>
    </row>
    <row r="576" ht="15.75" customHeight="1">
      <c r="A576" s="6"/>
    </row>
    <row r="577" ht="15.75" customHeight="1">
      <c r="A577" s="6"/>
    </row>
    <row r="578" ht="15.75" customHeight="1">
      <c r="A578" s="6"/>
    </row>
    <row r="579" ht="15.75" customHeight="1">
      <c r="A579" s="6"/>
    </row>
    <row r="580" ht="15.75" customHeight="1">
      <c r="A580" s="6"/>
    </row>
    <row r="581" ht="15.75" customHeight="1">
      <c r="A581" s="6"/>
    </row>
    <row r="582" ht="15.75" customHeight="1">
      <c r="A582" s="6"/>
    </row>
    <row r="583" ht="15.75" customHeight="1">
      <c r="A583" s="6"/>
    </row>
    <row r="584" ht="15.75" customHeight="1">
      <c r="A584" s="6"/>
    </row>
    <row r="585" ht="15.75" customHeight="1">
      <c r="A585" s="6"/>
    </row>
    <row r="586" ht="15.75" customHeight="1">
      <c r="A586" s="6"/>
    </row>
    <row r="587" ht="15.75" customHeight="1">
      <c r="A587" s="6"/>
    </row>
    <row r="588" ht="15.75" customHeight="1">
      <c r="A588" s="6"/>
    </row>
    <row r="589" ht="15.75" customHeight="1">
      <c r="A589" s="6"/>
    </row>
    <row r="590" ht="15.75" customHeight="1">
      <c r="A590" s="6"/>
    </row>
    <row r="591" ht="15.75" customHeight="1">
      <c r="A591" s="6"/>
    </row>
    <row r="592" ht="15.75" customHeight="1">
      <c r="A592" s="6"/>
    </row>
    <row r="593" ht="15.75" customHeight="1">
      <c r="A593" s="6"/>
    </row>
    <row r="594" ht="15.75" customHeight="1">
      <c r="A594" s="6"/>
    </row>
    <row r="595" ht="15.75" customHeight="1">
      <c r="A595" s="6"/>
    </row>
    <row r="596" ht="15.75" customHeight="1">
      <c r="A596" s="6"/>
    </row>
    <row r="597" ht="15.75" customHeight="1">
      <c r="A597" s="6"/>
    </row>
    <row r="598" ht="15.75" customHeight="1">
      <c r="A598" s="6"/>
    </row>
    <row r="599" ht="15.75" customHeight="1">
      <c r="A599" s="6"/>
    </row>
    <row r="600" ht="15.75" customHeight="1">
      <c r="A600" s="6"/>
    </row>
    <row r="601" ht="15.75" customHeight="1">
      <c r="A601" s="6"/>
    </row>
    <row r="602" ht="15.75" customHeight="1">
      <c r="A602" s="6"/>
    </row>
    <row r="603" ht="15.75" customHeight="1">
      <c r="A603" s="6"/>
    </row>
    <row r="604" ht="15.75" customHeight="1">
      <c r="A604" s="6"/>
    </row>
    <row r="605" ht="15.75" customHeight="1">
      <c r="A605" s="6"/>
    </row>
    <row r="606" ht="15.75" customHeight="1">
      <c r="A606" s="6"/>
    </row>
    <row r="607" ht="15.75" customHeight="1">
      <c r="A607" s="6"/>
    </row>
    <row r="608" ht="15.75" customHeight="1">
      <c r="A608" s="6"/>
    </row>
    <row r="609" ht="15.75" customHeight="1">
      <c r="A609" s="6"/>
    </row>
    <row r="610" ht="15.75" customHeight="1">
      <c r="A610" s="6"/>
    </row>
    <row r="611" ht="15.75" customHeight="1">
      <c r="A611" s="6"/>
    </row>
    <row r="612" ht="15.75" customHeight="1">
      <c r="A612" s="6"/>
    </row>
    <row r="613" ht="15.75" customHeight="1">
      <c r="A613" s="6"/>
    </row>
    <row r="614" ht="15.75" customHeight="1">
      <c r="A614" s="6"/>
    </row>
    <row r="615" ht="15.75" customHeight="1">
      <c r="A615" s="6"/>
    </row>
    <row r="616" ht="15.75" customHeight="1">
      <c r="A616" s="6"/>
    </row>
    <row r="617" ht="15.75" customHeight="1">
      <c r="A617" s="6"/>
    </row>
    <row r="618" ht="15.75" customHeight="1">
      <c r="A618" s="6"/>
    </row>
    <row r="619" ht="15.75" customHeight="1">
      <c r="A619" s="6"/>
    </row>
    <row r="620" ht="15.75" customHeight="1">
      <c r="A620" s="6"/>
    </row>
    <row r="621" ht="15.75" customHeight="1">
      <c r="A621" s="6"/>
    </row>
    <row r="622" ht="15.75" customHeight="1">
      <c r="A622" s="6"/>
    </row>
    <row r="623" ht="15.75" customHeight="1">
      <c r="A623" s="6"/>
    </row>
    <row r="624" ht="15.75" customHeight="1">
      <c r="A624" s="6"/>
    </row>
    <row r="625" ht="15.75" customHeight="1">
      <c r="A625" s="6"/>
    </row>
    <row r="626" ht="15.75" customHeight="1">
      <c r="A626" s="6"/>
    </row>
    <row r="627" ht="15.75" customHeight="1">
      <c r="A627" s="6"/>
    </row>
    <row r="628" ht="15.75" customHeight="1">
      <c r="A628" s="6"/>
    </row>
    <row r="629" ht="15.75" customHeight="1">
      <c r="A629" s="6"/>
    </row>
    <row r="630" ht="15.75" customHeight="1">
      <c r="A630" s="6"/>
    </row>
    <row r="631" ht="15.75" customHeight="1">
      <c r="A631" s="6"/>
    </row>
    <row r="632" ht="15.75" customHeight="1">
      <c r="A632" s="6"/>
    </row>
    <row r="633" ht="15.75" customHeight="1">
      <c r="A633" s="6"/>
    </row>
    <row r="634" ht="15.75" customHeight="1">
      <c r="A634" s="6"/>
    </row>
    <row r="635" ht="15.75" customHeight="1">
      <c r="A635" s="6"/>
    </row>
    <row r="636" ht="15.75" customHeight="1">
      <c r="A636" s="6"/>
    </row>
    <row r="637" ht="15.75" customHeight="1">
      <c r="A637" s="6"/>
    </row>
    <row r="638" ht="15.75" customHeight="1">
      <c r="A638" s="6"/>
    </row>
    <row r="639" ht="15.75" customHeight="1">
      <c r="A639" s="6"/>
    </row>
    <row r="640" ht="15.75" customHeight="1">
      <c r="A640" s="6"/>
    </row>
    <row r="641" ht="15.75" customHeight="1">
      <c r="A641" s="6"/>
    </row>
    <row r="642" ht="15.75" customHeight="1">
      <c r="A642" s="6"/>
    </row>
    <row r="643" ht="15.75" customHeight="1">
      <c r="A643" s="6"/>
    </row>
    <row r="644" ht="15.75" customHeight="1">
      <c r="A644" s="6"/>
    </row>
    <row r="645" ht="15.75" customHeight="1">
      <c r="A645" s="6"/>
    </row>
    <row r="646" ht="15.75" customHeight="1">
      <c r="A646" s="6"/>
    </row>
    <row r="647" ht="15.75" customHeight="1">
      <c r="A647" s="6"/>
    </row>
    <row r="648" ht="15.75" customHeight="1">
      <c r="A648" s="6"/>
    </row>
    <row r="649" ht="15.75" customHeight="1">
      <c r="A649" s="6"/>
    </row>
    <row r="650" ht="15.75" customHeight="1">
      <c r="A650" s="6"/>
    </row>
    <row r="651" ht="15.75" customHeight="1">
      <c r="A651" s="6"/>
    </row>
    <row r="652" ht="15.75" customHeight="1">
      <c r="A652" s="6"/>
    </row>
    <row r="653" ht="15.75" customHeight="1">
      <c r="A653" s="6"/>
    </row>
    <row r="654" ht="15.75" customHeight="1">
      <c r="A654" s="6"/>
    </row>
    <row r="655" ht="15.75" customHeight="1">
      <c r="A655" s="6"/>
    </row>
    <row r="656" ht="15.75" customHeight="1">
      <c r="A656" s="6"/>
    </row>
    <row r="657" ht="15.75" customHeight="1">
      <c r="A657" s="6"/>
    </row>
    <row r="658" ht="15.75" customHeight="1">
      <c r="A658" s="6"/>
    </row>
    <row r="659" ht="15.75" customHeight="1">
      <c r="A659" s="6"/>
    </row>
    <row r="660" ht="15.75" customHeight="1">
      <c r="A660" s="6"/>
    </row>
    <row r="661" ht="15.75" customHeight="1">
      <c r="A661" s="6"/>
    </row>
    <row r="662" ht="15.75" customHeight="1">
      <c r="A662" s="6"/>
    </row>
    <row r="663" ht="15.75" customHeight="1">
      <c r="A663" s="6"/>
    </row>
    <row r="664" ht="15.75" customHeight="1">
      <c r="A664" s="6"/>
    </row>
    <row r="665" ht="15.75" customHeight="1">
      <c r="A665" s="6"/>
    </row>
    <row r="666" ht="15.75" customHeight="1">
      <c r="A666" s="6"/>
    </row>
    <row r="667" ht="15.75" customHeight="1">
      <c r="A667" s="6"/>
    </row>
    <row r="668" ht="15.75" customHeight="1">
      <c r="A668" s="6"/>
    </row>
    <row r="669" ht="15.75" customHeight="1">
      <c r="A669" s="6"/>
    </row>
    <row r="670" ht="15.75" customHeight="1">
      <c r="A670" s="6"/>
    </row>
    <row r="671" ht="15.75" customHeight="1">
      <c r="A671" s="6"/>
    </row>
    <row r="672" ht="15.75" customHeight="1">
      <c r="A672" s="6"/>
    </row>
    <row r="673" ht="15.75" customHeight="1">
      <c r="A673" s="6"/>
    </row>
    <row r="674" ht="15.75" customHeight="1">
      <c r="A674" s="6"/>
    </row>
    <row r="675" ht="15.75" customHeight="1">
      <c r="A675" s="6"/>
    </row>
    <row r="676" ht="15.75" customHeight="1">
      <c r="A676" s="6"/>
    </row>
    <row r="677" ht="15.75" customHeight="1">
      <c r="A677" s="6"/>
    </row>
    <row r="678" ht="15.75" customHeight="1">
      <c r="A678" s="6"/>
    </row>
    <row r="679" ht="15.75" customHeight="1">
      <c r="A679" s="6"/>
    </row>
    <row r="680" ht="15.75" customHeight="1">
      <c r="A680" s="6"/>
    </row>
    <row r="681" ht="15.75" customHeight="1">
      <c r="A681" s="6"/>
    </row>
    <row r="682" ht="15.75" customHeight="1">
      <c r="A682" s="6"/>
    </row>
    <row r="683" ht="15.75" customHeight="1">
      <c r="A683" s="6"/>
    </row>
    <row r="684" ht="15.75" customHeight="1">
      <c r="A684" s="6"/>
    </row>
    <row r="685" ht="15.75" customHeight="1">
      <c r="A685" s="6"/>
    </row>
    <row r="686" ht="15.75" customHeight="1">
      <c r="A686" s="6"/>
    </row>
    <row r="687" ht="15.75" customHeight="1">
      <c r="A687" s="6"/>
    </row>
    <row r="688" ht="15.75" customHeight="1">
      <c r="A688" s="6"/>
    </row>
    <row r="689" ht="15.75" customHeight="1">
      <c r="A689" s="6"/>
    </row>
    <row r="690" ht="15.75" customHeight="1">
      <c r="A690" s="6"/>
    </row>
    <row r="691" ht="15.75" customHeight="1">
      <c r="A691" s="6"/>
    </row>
    <row r="692" ht="15.75" customHeight="1">
      <c r="A692" s="6"/>
    </row>
    <row r="693" ht="15.75" customHeight="1">
      <c r="A693" s="6"/>
    </row>
    <row r="694" ht="15.75" customHeight="1">
      <c r="A694" s="6"/>
    </row>
    <row r="695" ht="15.75" customHeight="1">
      <c r="A695" s="6"/>
    </row>
    <row r="696" ht="15.75" customHeight="1">
      <c r="A696" s="6"/>
    </row>
    <row r="697" ht="15.75" customHeight="1">
      <c r="A697" s="6"/>
    </row>
    <row r="698" ht="15.75" customHeight="1">
      <c r="A698" s="6"/>
    </row>
    <row r="699" ht="15.75" customHeight="1">
      <c r="A699" s="6"/>
    </row>
    <row r="700" ht="15.75" customHeight="1">
      <c r="A700" s="6"/>
    </row>
    <row r="701" ht="15.75" customHeight="1">
      <c r="A701" s="6"/>
    </row>
    <row r="702" ht="15.75" customHeight="1">
      <c r="A702" s="6"/>
    </row>
    <row r="703" ht="15.75" customHeight="1">
      <c r="A703" s="6"/>
    </row>
    <row r="704" ht="15.75" customHeight="1">
      <c r="A704" s="6"/>
    </row>
    <row r="705" ht="15.75" customHeight="1">
      <c r="A705" s="6"/>
    </row>
    <row r="706" ht="15.75" customHeight="1">
      <c r="A706" s="6"/>
    </row>
    <row r="707" ht="15.75" customHeight="1">
      <c r="A707" s="6"/>
    </row>
    <row r="708" ht="15.75" customHeight="1">
      <c r="A708" s="6"/>
    </row>
    <row r="709" ht="15.75" customHeight="1">
      <c r="A709" s="6"/>
    </row>
    <row r="710" ht="15.75" customHeight="1">
      <c r="A710" s="6"/>
    </row>
    <row r="711" ht="15.75" customHeight="1">
      <c r="A711" s="6"/>
    </row>
    <row r="712" ht="15.75" customHeight="1">
      <c r="A712" s="6"/>
    </row>
    <row r="713" ht="15.75" customHeight="1">
      <c r="A713" s="6"/>
    </row>
    <row r="714" ht="15.75" customHeight="1">
      <c r="A714" s="6"/>
    </row>
    <row r="715" ht="15.75" customHeight="1">
      <c r="A715" s="6"/>
    </row>
    <row r="716" ht="15.75" customHeight="1">
      <c r="A716" s="6"/>
    </row>
    <row r="717" ht="15.75" customHeight="1">
      <c r="A717" s="6"/>
    </row>
    <row r="718" ht="15.75" customHeight="1">
      <c r="A718" s="6"/>
    </row>
    <row r="719" ht="15.75" customHeight="1">
      <c r="A719" s="6"/>
    </row>
    <row r="720" ht="15.75" customHeight="1">
      <c r="A720" s="6"/>
    </row>
    <row r="721" ht="15.75" customHeight="1">
      <c r="A721" s="6"/>
    </row>
    <row r="722" ht="15.75" customHeight="1">
      <c r="A722" s="6"/>
    </row>
    <row r="723" ht="15.75" customHeight="1">
      <c r="A723" s="6"/>
    </row>
    <row r="724" ht="15.75" customHeight="1">
      <c r="A724" s="6"/>
    </row>
    <row r="725" ht="15.75" customHeight="1">
      <c r="A725" s="6"/>
    </row>
    <row r="726" ht="15.75" customHeight="1">
      <c r="A726" s="6"/>
    </row>
    <row r="727" ht="15.75" customHeight="1">
      <c r="A727" s="6"/>
    </row>
    <row r="728" ht="15.75" customHeight="1">
      <c r="A728" s="6"/>
    </row>
    <row r="729" ht="15.75" customHeight="1">
      <c r="A729" s="6"/>
    </row>
    <row r="730" ht="15.75" customHeight="1">
      <c r="A730" s="6"/>
    </row>
    <row r="731" ht="15.75" customHeight="1">
      <c r="A731" s="6"/>
    </row>
    <row r="732" ht="15.75" customHeight="1">
      <c r="A732" s="6"/>
    </row>
    <row r="733" ht="15.75" customHeight="1">
      <c r="A733" s="6"/>
    </row>
    <row r="734" ht="15.75" customHeight="1">
      <c r="A734" s="6"/>
    </row>
    <row r="735" ht="15.75" customHeight="1">
      <c r="A735" s="6"/>
    </row>
    <row r="736" ht="15.75" customHeight="1">
      <c r="A736" s="6"/>
    </row>
    <row r="737" ht="15.75" customHeight="1">
      <c r="A737" s="6"/>
    </row>
    <row r="738" ht="15.75" customHeight="1">
      <c r="A738" s="6"/>
    </row>
    <row r="739" ht="15.75" customHeight="1">
      <c r="A739" s="6"/>
    </row>
    <row r="740" ht="15.75" customHeight="1">
      <c r="A740" s="6"/>
    </row>
    <row r="741" ht="15.75" customHeight="1">
      <c r="A741" s="6"/>
    </row>
    <row r="742" ht="15.75" customHeight="1">
      <c r="A742" s="6"/>
    </row>
    <row r="743" ht="15.75" customHeight="1">
      <c r="A743" s="6"/>
    </row>
    <row r="744" ht="15.75" customHeight="1">
      <c r="A744" s="6"/>
    </row>
    <row r="745" ht="15.75" customHeight="1">
      <c r="A745" s="6"/>
    </row>
    <row r="746" ht="15.75" customHeight="1">
      <c r="A746" s="6"/>
    </row>
    <row r="747" ht="15.75" customHeight="1">
      <c r="A747" s="6"/>
    </row>
    <row r="748" ht="15.75" customHeight="1">
      <c r="A748" s="6"/>
    </row>
    <row r="749" ht="15.75" customHeight="1">
      <c r="A749" s="6"/>
    </row>
    <row r="750" ht="15.75" customHeight="1">
      <c r="A750" s="6"/>
    </row>
    <row r="751" ht="15.75" customHeight="1">
      <c r="A751" s="6"/>
    </row>
    <row r="752" ht="15.75" customHeight="1">
      <c r="A752" s="6"/>
    </row>
    <row r="753" ht="15.75" customHeight="1">
      <c r="A753" s="6"/>
    </row>
    <row r="754" ht="15.75" customHeight="1">
      <c r="A754" s="6"/>
    </row>
    <row r="755" ht="15.75" customHeight="1">
      <c r="A755" s="6"/>
    </row>
    <row r="756" ht="15.75" customHeight="1">
      <c r="A756" s="6"/>
    </row>
    <row r="757" ht="15.75" customHeight="1">
      <c r="A757" s="6"/>
    </row>
    <row r="758" ht="15.75" customHeight="1">
      <c r="A758" s="6"/>
    </row>
    <row r="759" ht="15.75" customHeight="1">
      <c r="A759" s="6"/>
    </row>
    <row r="760" ht="15.75" customHeight="1">
      <c r="A760" s="6"/>
    </row>
    <row r="761" ht="15.75" customHeight="1">
      <c r="A761" s="6"/>
    </row>
    <row r="762" ht="15.75" customHeight="1">
      <c r="A762" s="6"/>
    </row>
    <row r="763" ht="15.75" customHeight="1">
      <c r="A763" s="6"/>
    </row>
    <row r="764" ht="15.75" customHeight="1">
      <c r="A764" s="6"/>
    </row>
    <row r="765" ht="15.75" customHeight="1">
      <c r="A765" s="6"/>
    </row>
    <row r="766" ht="15.75" customHeight="1">
      <c r="A766" s="6"/>
    </row>
    <row r="767" ht="15.75" customHeight="1">
      <c r="A767" s="6"/>
    </row>
    <row r="768" ht="15.75" customHeight="1">
      <c r="A768" s="6"/>
    </row>
    <row r="769" ht="15.75" customHeight="1">
      <c r="A769" s="6"/>
    </row>
    <row r="770" ht="15.75" customHeight="1">
      <c r="A770" s="6"/>
    </row>
    <row r="771" ht="15.75" customHeight="1">
      <c r="A771" s="6"/>
    </row>
    <row r="772" ht="15.75" customHeight="1">
      <c r="A772" s="6"/>
    </row>
    <row r="773" ht="15.75" customHeight="1">
      <c r="A773" s="6"/>
    </row>
    <row r="774" ht="15.75" customHeight="1">
      <c r="A774" s="6"/>
    </row>
    <row r="775" ht="15.75" customHeight="1">
      <c r="A775" s="6"/>
    </row>
    <row r="776" ht="15.75" customHeight="1">
      <c r="A776" s="6"/>
    </row>
    <row r="777" ht="15.75" customHeight="1">
      <c r="A777" s="6"/>
    </row>
    <row r="778" ht="15.75" customHeight="1">
      <c r="A778" s="6"/>
    </row>
    <row r="779" ht="15.75" customHeight="1">
      <c r="A779" s="6"/>
    </row>
    <row r="780" ht="15.75" customHeight="1">
      <c r="A780" s="6"/>
    </row>
    <row r="781" ht="15.75" customHeight="1">
      <c r="A781" s="6"/>
    </row>
    <row r="782" ht="15.75" customHeight="1">
      <c r="A782" s="6"/>
    </row>
    <row r="783" ht="15.75" customHeight="1">
      <c r="A783" s="6"/>
    </row>
    <row r="784" ht="15.75" customHeight="1">
      <c r="A784" s="6"/>
    </row>
    <row r="785" ht="15.75" customHeight="1">
      <c r="A785" s="6"/>
    </row>
    <row r="786" ht="15.75" customHeight="1">
      <c r="A786" s="6"/>
    </row>
    <row r="787" ht="15.75" customHeight="1">
      <c r="A787" s="6"/>
    </row>
    <row r="788" ht="15.75" customHeight="1">
      <c r="A788" s="6"/>
    </row>
    <row r="789" ht="15.75" customHeight="1">
      <c r="A789" s="6"/>
    </row>
    <row r="790" ht="15.75" customHeight="1">
      <c r="A790" s="6"/>
    </row>
    <row r="791" ht="15.75" customHeight="1">
      <c r="A791" s="6"/>
    </row>
    <row r="792" ht="15.75" customHeight="1">
      <c r="A792" s="6"/>
    </row>
    <row r="793" ht="15.75" customHeight="1">
      <c r="A793" s="6"/>
    </row>
    <row r="794" ht="15.75" customHeight="1">
      <c r="A794" s="6"/>
    </row>
    <row r="795" ht="15.75" customHeight="1">
      <c r="A795" s="6"/>
    </row>
    <row r="796" ht="15.75" customHeight="1">
      <c r="A796" s="6"/>
    </row>
    <row r="797" ht="15.75" customHeight="1">
      <c r="A797" s="6"/>
    </row>
    <row r="798" ht="15.75" customHeight="1">
      <c r="A798" s="6"/>
    </row>
    <row r="799" ht="15.75" customHeight="1">
      <c r="A799" s="6"/>
    </row>
    <row r="800" ht="15.75" customHeight="1">
      <c r="A800" s="6"/>
    </row>
    <row r="801" ht="15.75" customHeight="1">
      <c r="A801" s="6"/>
    </row>
    <row r="802" ht="15.75" customHeight="1">
      <c r="A802" s="6"/>
    </row>
    <row r="803" ht="15.75" customHeight="1">
      <c r="A803" s="6"/>
    </row>
    <row r="804" ht="15.75" customHeight="1">
      <c r="A804" s="6"/>
    </row>
    <row r="805" ht="15.75" customHeight="1">
      <c r="A805" s="6"/>
    </row>
    <row r="806" ht="15.75" customHeight="1">
      <c r="A806" s="6"/>
    </row>
    <row r="807" ht="15.75" customHeight="1">
      <c r="A807" s="6"/>
    </row>
    <row r="808" ht="15.75" customHeight="1">
      <c r="A808" s="6"/>
    </row>
    <row r="809" ht="15.75" customHeight="1">
      <c r="A809" s="6"/>
    </row>
    <row r="810" ht="15.75" customHeight="1">
      <c r="A810" s="6"/>
    </row>
    <row r="811" ht="15.75" customHeight="1">
      <c r="A811" s="6"/>
    </row>
    <row r="812" ht="15.75" customHeight="1">
      <c r="A812" s="6"/>
    </row>
    <row r="813" ht="15.75" customHeight="1">
      <c r="A813" s="6"/>
    </row>
    <row r="814" ht="15.75" customHeight="1">
      <c r="A814" s="6"/>
    </row>
    <row r="815" ht="15.75" customHeight="1">
      <c r="A815" s="6"/>
    </row>
    <row r="816" ht="15.75" customHeight="1">
      <c r="A816" s="6"/>
    </row>
    <row r="817" ht="15.75" customHeight="1">
      <c r="A817" s="6"/>
    </row>
    <row r="818" ht="15.75" customHeight="1">
      <c r="A818" s="6"/>
    </row>
    <row r="819" ht="15.75" customHeight="1">
      <c r="A819" s="6"/>
    </row>
    <row r="820" ht="15.75" customHeight="1">
      <c r="A820" s="6"/>
    </row>
    <row r="821" ht="15.75" customHeight="1">
      <c r="A821" s="6"/>
    </row>
    <row r="822" ht="15.75" customHeight="1">
      <c r="A822" s="6"/>
    </row>
    <row r="823" ht="15.75" customHeight="1">
      <c r="A823" s="6"/>
    </row>
    <row r="824" ht="15.75" customHeight="1">
      <c r="A824" s="6"/>
    </row>
    <row r="825" ht="15.75" customHeight="1">
      <c r="A825" s="6"/>
    </row>
    <row r="826" ht="15.75" customHeight="1">
      <c r="A826" s="6"/>
    </row>
    <row r="827" ht="15.75" customHeight="1">
      <c r="A827" s="6"/>
    </row>
    <row r="828" ht="15.75" customHeight="1">
      <c r="A828" s="6"/>
    </row>
    <row r="829" ht="15.75" customHeight="1">
      <c r="A829" s="6"/>
    </row>
    <row r="830" ht="15.75" customHeight="1">
      <c r="A830" s="6"/>
    </row>
    <row r="831" ht="15.75" customHeight="1">
      <c r="A831" s="6"/>
    </row>
    <row r="832" ht="15.75" customHeight="1">
      <c r="A832" s="6"/>
    </row>
    <row r="833" ht="15.75" customHeight="1">
      <c r="A833" s="6"/>
    </row>
    <row r="834" ht="15.75" customHeight="1">
      <c r="A834" s="6"/>
    </row>
    <row r="835" ht="15.75" customHeight="1">
      <c r="A835" s="6"/>
    </row>
    <row r="836" ht="15.75" customHeight="1">
      <c r="A836" s="6"/>
    </row>
    <row r="837" ht="15.75" customHeight="1">
      <c r="A837" s="6"/>
    </row>
    <row r="838" ht="15.75" customHeight="1">
      <c r="A838" s="6"/>
    </row>
    <row r="839" ht="15.75" customHeight="1">
      <c r="A839" s="6"/>
    </row>
    <row r="840" ht="15.75" customHeight="1">
      <c r="A840" s="6"/>
    </row>
    <row r="841" ht="15.75" customHeight="1">
      <c r="A841" s="6"/>
    </row>
    <row r="842" ht="15.75" customHeight="1">
      <c r="A842" s="6"/>
    </row>
    <row r="843" ht="15.75" customHeight="1">
      <c r="A843" s="6"/>
    </row>
    <row r="844" ht="15.75" customHeight="1">
      <c r="A844" s="6"/>
    </row>
    <row r="845" ht="15.75" customHeight="1">
      <c r="A845" s="6"/>
    </row>
    <row r="846" ht="15.75" customHeight="1">
      <c r="A846" s="6"/>
    </row>
    <row r="847" ht="15.75" customHeight="1">
      <c r="A847" s="6"/>
    </row>
    <row r="848" ht="15.75" customHeight="1">
      <c r="A848" s="6"/>
    </row>
    <row r="849" ht="15.75" customHeight="1">
      <c r="A849" s="6"/>
    </row>
    <row r="850" ht="15.75" customHeight="1">
      <c r="A850" s="6"/>
    </row>
    <row r="851" ht="15.75" customHeight="1">
      <c r="A851" s="6"/>
    </row>
    <row r="852" ht="15.75" customHeight="1">
      <c r="A852" s="6"/>
    </row>
    <row r="853" ht="15.75" customHeight="1">
      <c r="A853" s="6"/>
    </row>
    <row r="854" ht="15.75" customHeight="1">
      <c r="A854" s="6"/>
    </row>
    <row r="855" ht="15.75" customHeight="1">
      <c r="A855" s="6"/>
    </row>
    <row r="856" ht="15.75" customHeight="1">
      <c r="A856" s="6"/>
    </row>
    <row r="857" ht="15.75" customHeight="1">
      <c r="A857" s="6"/>
    </row>
    <row r="858" ht="15.75" customHeight="1">
      <c r="A858" s="6"/>
    </row>
    <row r="859" ht="15.75" customHeight="1">
      <c r="A859" s="6"/>
    </row>
    <row r="860" ht="15.75" customHeight="1">
      <c r="A860" s="6"/>
    </row>
    <row r="861" ht="15.75" customHeight="1">
      <c r="A861" s="6"/>
    </row>
    <row r="862" ht="15.75" customHeight="1">
      <c r="A862" s="6"/>
    </row>
    <row r="863" ht="15.75" customHeight="1">
      <c r="A863" s="6"/>
    </row>
    <row r="864" ht="15.75" customHeight="1">
      <c r="A864" s="6"/>
    </row>
    <row r="865" ht="15.75" customHeight="1">
      <c r="A865" s="6"/>
    </row>
    <row r="866" ht="15.75" customHeight="1">
      <c r="A866" s="6"/>
    </row>
    <row r="867" ht="15.75" customHeight="1">
      <c r="A867" s="6"/>
    </row>
    <row r="868" ht="15.75" customHeight="1">
      <c r="A868" s="6"/>
    </row>
    <row r="869" ht="15.75" customHeight="1">
      <c r="A869" s="6"/>
    </row>
    <row r="870" ht="15.75" customHeight="1">
      <c r="A870" s="6"/>
    </row>
    <row r="871" ht="15.75" customHeight="1">
      <c r="A871" s="6"/>
    </row>
    <row r="872" ht="15.75" customHeight="1">
      <c r="A872" s="6"/>
    </row>
    <row r="873" ht="15.75" customHeight="1">
      <c r="A873" s="6"/>
    </row>
    <row r="874" ht="15.75" customHeight="1">
      <c r="A874" s="6"/>
    </row>
    <row r="875" ht="15.75" customHeight="1">
      <c r="A875" s="6"/>
    </row>
    <row r="876" ht="15.75" customHeight="1">
      <c r="A876" s="6"/>
    </row>
    <row r="877" ht="15.75" customHeight="1">
      <c r="A877" s="6"/>
    </row>
    <row r="878" ht="15.75" customHeight="1">
      <c r="A878" s="6"/>
    </row>
    <row r="879" ht="15.75" customHeight="1">
      <c r="A879" s="6"/>
    </row>
    <row r="880" ht="15.75" customHeight="1">
      <c r="A880" s="6"/>
    </row>
    <row r="881" ht="15.75" customHeight="1">
      <c r="A881" s="6"/>
    </row>
    <row r="882" ht="15.75" customHeight="1">
      <c r="A882" s="6"/>
    </row>
    <row r="883" ht="15.75" customHeight="1">
      <c r="A883" s="6"/>
    </row>
    <row r="884" ht="15.75" customHeight="1">
      <c r="A884" s="6"/>
    </row>
    <row r="885" ht="15.75" customHeight="1">
      <c r="A885" s="6"/>
    </row>
    <row r="886" ht="15.75" customHeight="1">
      <c r="A886" s="6"/>
    </row>
    <row r="887" ht="15.75" customHeight="1">
      <c r="A887" s="6"/>
    </row>
    <row r="888" ht="15.75" customHeight="1">
      <c r="A888" s="6"/>
    </row>
    <row r="889" ht="15.75" customHeight="1">
      <c r="A889" s="6"/>
    </row>
    <row r="890" ht="15.75" customHeight="1">
      <c r="A890" s="6"/>
    </row>
    <row r="891" ht="15.75" customHeight="1">
      <c r="A891" s="6"/>
    </row>
    <row r="892" ht="15.75" customHeight="1">
      <c r="A892" s="6"/>
    </row>
    <row r="893" ht="15.75" customHeight="1">
      <c r="A893" s="6"/>
    </row>
    <row r="894" ht="15.75" customHeight="1">
      <c r="A894" s="6"/>
    </row>
    <row r="895" ht="15.75" customHeight="1">
      <c r="A895" s="6"/>
    </row>
    <row r="896" ht="15.75" customHeight="1">
      <c r="A896" s="6"/>
    </row>
    <row r="897" ht="15.75" customHeight="1">
      <c r="A897" s="6"/>
    </row>
    <row r="898" ht="15.75" customHeight="1">
      <c r="A898" s="6"/>
    </row>
    <row r="899" ht="15.75" customHeight="1">
      <c r="A899" s="6"/>
    </row>
    <row r="900" ht="15.75" customHeight="1">
      <c r="A900" s="6"/>
    </row>
    <row r="901" ht="15.75" customHeight="1">
      <c r="A901" s="6"/>
    </row>
    <row r="902" ht="15.75" customHeight="1">
      <c r="A902" s="6"/>
    </row>
    <row r="903" ht="15.75" customHeight="1">
      <c r="A903" s="6"/>
    </row>
    <row r="904" ht="15.75" customHeight="1">
      <c r="A904" s="6"/>
    </row>
    <row r="905" ht="15.75" customHeight="1">
      <c r="A905" s="6"/>
    </row>
    <row r="906" ht="15.75" customHeight="1">
      <c r="A906" s="6"/>
    </row>
    <row r="907" ht="15.75" customHeight="1">
      <c r="A907" s="6"/>
    </row>
    <row r="908" ht="15.75" customHeight="1">
      <c r="A908" s="6"/>
    </row>
    <row r="909" ht="15.75" customHeight="1">
      <c r="A909" s="6"/>
    </row>
    <row r="910" ht="15.75" customHeight="1">
      <c r="A910" s="6"/>
    </row>
    <row r="911" ht="15.75" customHeight="1">
      <c r="A911" s="6"/>
    </row>
    <row r="912" ht="15.75" customHeight="1">
      <c r="A912" s="6"/>
    </row>
    <row r="913" ht="15.75" customHeight="1">
      <c r="A913" s="6"/>
    </row>
    <row r="914" ht="15.75" customHeight="1">
      <c r="A914" s="6"/>
    </row>
    <row r="915" ht="15.75" customHeight="1">
      <c r="A915" s="6"/>
    </row>
    <row r="916" ht="15.75" customHeight="1">
      <c r="A916" s="6"/>
    </row>
    <row r="917" ht="15.75" customHeight="1">
      <c r="A917" s="6"/>
    </row>
    <row r="918" ht="15.75" customHeight="1">
      <c r="A918" s="6"/>
    </row>
    <row r="919" ht="15.75" customHeight="1">
      <c r="A919" s="6"/>
    </row>
    <row r="920" ht="15.75" customHeight="1">
      <c r="A920" s="6"/>
    </row>
    <row r="921" ht="15.75" customHeight="1">
      <c r="A921" s="6"/>
    </row>
    <row r="922" ht="15.75" customHeight="1">
      <c r="A922" s="6"/>
    </row>
    <row r="923" ht="15.75" customHeight="1">
      <c r="A923" s="6"/>
    </row>
    <row r="924" ht="15.75" customHeight="1">
      <c r="A924" s="6"/>
    </row>
    <row r="925" ht="15.75" customHeight="1">
      <c r="A925" s="6"/>
    </row>
    <row r="926" ht="15.75" customHeight="1">
      <c r="A926" s="6"/>
    </row>
    <row r="927" ht="15.75" customHeight="1">
      <c r="A927" s="6"/>
    </row>
    <row r="928" ht="15.75" customHeight="1">
      <c r="A928" s="6"/>
    </row>
    <row r="929" ht="15.75" customHeight="1">
      <c r="A929" s="6"/>
    </row>
    <row r="930" ht="15.75" customHeight="1">
      <c r="A930" s="6"/>
    </row>
    <row r="931" ht="15.75" customHeight="1">
      <c r="A931" s="6"/>
    </row>
    <row r="932" ht="15.75" customHeight="1">
      <c r="A932" s="6"/>
    </row>
    <row r="933" ht="15.75" customHeight="1">
      <c r="A933" s="6"/>
    </row>
    <row r="934" ht="15.75" customHeight="1">
      <c r="A934" s="6"/>
    </row>
    <row r="935" ht="15.75" customHeight="1">
      <c r="A935" s="6"/>
    </row>
    <row r="936" ht="15.75" customHeight="1">
      <c r="A936" s="6"/>
    </row>
    <row r="937" ht="15.75" customHeight="1">
      <c r="A937" s="6"/>
    </row>
    <row r="938" ht="15.75" customHeight="1">
      <c r="A938" s="6"/>
    </row>
    <row r="939" ht="15.75" customHeight="1">
      <c r="A939" s="6"/>
    </row>
    <row r="940" ht="15.75" customHeight="1">
      <c r="A940" s="6"/>
    </row>
    <row r="941" ht="15.75" customHeight="1">
      <c r="A941" s="6"/>
    </row>
    <row r="942" ht="15.75" customHeight="1">
      <c r="A942" s="6"/>
    </row>
    <row r="943" ht="15.75" customHeight="1">
      <c r="A943" s="6"/>
    </row>
    <row r="944" ht="15.75" customHeight="1">
      <c r="A944" s="6"/>
    </row>
    <row r="945" ht="15.75" customHeight="1">
      <c r="A945" s="6"/>
    </row>
    <row r="946" ht="15.75" customHeight="1">
      <c r="A946" s="6"/>
    </row>
    <row r="947" ht="15.75" customHeight="1">
      <c r="A947" s="6"/>
    </row>
    <row r="948" ht="15.75" customHeight="1">
      <c r="A948" s="6"/>
    </row>
    <row r="949" ht="15.75" customHeight="1">
      <c r="A949" s="6"/>
    </row>
    <row r="950" ht="15.75" customHeight="1">
      <c r="A950" s="6"/>
    </row>
    <row r="951" ht="15.75" customHeight="1">
      <c r="A951" s="6"/>
    </row>
    <row r="952" ht="15.75" customHeight="1">
      <c r="A952" s="6"/>
    </row>
    <row r="953" ht="15.75" customHeight="1">
      <c r="A953" s="6"/>
    </row>
    <row r="954" ht="15.75" customHeight="1">
      <c r="A954" s="6"/>
    </row>
    <row r="955" ht="15.75" customHeight="1">
      <c r="A955" s="6"/>
    </row>
    <row r="956" ht="15.75" customHeight="1">
      <c r="A956" s="6"/>
    </row>
    <row r="957" ht="15.75" customHeight="1">
      <c r="A957" s="6"/>
    </row>
    <row r="958" ht="15.75" customHeight="1">
      <c r="A958" s="6"/>
    </row>
    <row r="959" ht="15.75" customHeight="1">
      <c r="A959" s="6"/>
    </row>
    <row r="960" ht="15.75" customHeight="1">
      <c r="A960" s="6"/>
    </row>
    <row r="961" ht="15.75" customHeight="1">
      <c r="A961" s="6"/>
    </row>
    <row r="962" ht="15.75" customHeight="1">
      <c r="A962" s="6"/>
    </row>
    <row r="963" ht="15.75" customHeight="1">
      <c r="A963" s="6"/>
    </row>
    <row r="964" ht="15.75" customHeight="1">
      <c r="A964" s="6"/>
    </row>
    <row r="965" ht="15.75" customHeight="1">
      <c r="A965" s="6"/>
    </row>
    <row r="966" ht="15.75" customHeight="1">
      <c r="A966" s="6"/>
    </row>
    <row r="967" ht="15.75" customHeight="1">
      <c r="A967" s="6"/>
    </row>
    <row r="968" ht="15.75" customHeight="1">
      <c r="A968" s="6"/>
    </row>
    <row r="969" ht="15.75" customHeight="1">
      <c r="A969" s="6"/>
    </row>
    <row r="970" ht="15.75" customHeight="1">
      <c r="A970" s="6"/>
    </row>
    <row r="971" ht="15.75" customHeight="1">
      <c r="A971" s="6"/>
    </row>
    <row r="972" ht="15.75" customHeight="1">
      <c r="A972" s="6"/>
    </row>
    <row r="973" ht="15.75" customHeight="1">
      <c r="A973" s="6"/>
    </row>
    <row r="974" ht="15.75" customHeight="1">
      <c r="A974" s="6"/>
    </row>
    <row r="975" ht="15.75" customHeight="1">
      <c r="A975" s="6"/>
    </row>
    <row r="976" ht="15.75" customHeight="1">
      <c r="A976" s="6"/>
    </row>
    <row r="977" ht="15.75" customHeight="1">
      <c r="A977" s="6"/>
    </row>
    <row r="978" ht="15.75" customHeight="1">
      <c r="A978" s="6"/>
    </row>
    <row r="979" ht="15.75" customHeight="1">
      <c r="A979" s="6"/>
    </row>
    <row r="980" ht="15.75" customHeight="1">
      <c r="A980" s="6"/>
    </row>
    <row r="981" ht="15.75" customHeight="1">
      <c r="A981" s="6"/>
    </row>
    <row r="982" ht="15.75" customHeight="1">
      <c r="A982" s="6"/>
    </row>
    <row r="983" ht="15.75" customHeight="1">
      <c r="A983" s="6"/>
    </row>
    <row r="984" ht="15.75" customHeight="1">
      <c r="A984" s="6"/>
    </row>
    <row r="985" ht="15.75" customHeight="1">
      <c r="A985" s="6"/>
    </row>
    <row r="986" ht="15.75" customHeight="1">
      <c r="A986" s="6"/>
    </row>
    <row r="987" ht="15.75" customHeight="1">
      <c r="A987" s="6"/>
    </row>
    <row r="988" ht="15.75" customHeight="1">
      <c r="A988" s="6"/>
    </row>
    <row r="989" ht="15.75" customHeight="1">
      <c r="A989" s="6"/>
    </row>
    <row r="990" ht="15.75" customHeight="1">
      <c r="A990" s="6"/>
    </row>
    <row r="991" ht="15.75" customHeight="1">
      <c r="A991" s="6"/>
    </row>
    <row r="992" ht="15.75" customHeight="1">
      <c r="A992" s="6"/>
    </row>
    <row r="993" ht="15.75" customHeight="1">
      <c r="A993" s="6"/>
    </row>
    <row r="994" ht="15.75" customHeight="1">
      <c r="A994" s="6"/>
    </row>
    <row r="995" ht="15.75" customHeight="1">
      <c r="A995" s="6"/>
    </row>
    <row r="996" ht="15.75" customHeight="1">
      <c r="A996" s="6"/>
    </row>
    <row r="997" ht="15.75" customHeight="1">
      <c r="A997" s="6"/>
    </row>
    <row r="998" ht="15.75" customHeight="1">
      <c r="A998" s="6"/>
    </row>
    <row r="999" ht="15.75" customHeight="1">
      <c r="A999" s="6"/>
    </row>
    <row r="1000" ht="15.75" customHeight="1">
      <c r="A1000" s="6"/>
    </row>
  </sheetData>
  <printOptions/>
  <pageMargins bottom="1.05277777777778" footer="0.0" header="0.0" left="0.7875" right="0.7875" top="1.05277777777778"/>
  <pageSetup paperSize="9" orientation="portrait"/>
  <headerFooter>
    <oddHeader>&amp;Cffffff&amp;A</oddHeader>
    <oddFooter>&amp;CffffffPage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78.14"/>
    <col customWidth="1" min="2" max="7" width="9.0"/>
    <col customWidth="1" min="8" max="8" width="10.43"/>
    <col customWidth="1" min="9" max="9" width="10.71"/>
    <col customWidth="1" min="10" max="26" width="8.57"/>
  </cols>
  <sheetData>
    <row r="1" ht="60.0" customHeight="1">
      <c r="A1" s="7" t="s">
        <v>9</v>
      </c>
      <c r="B1" s="8">
        <f t="shared" ref="B1:H1" si="1">+C1-1</f>
        <v>2015</v>
      </c>
      <c r="C1" s="8">
        <f t="shared" si="1"/>
        <v>2016</v>
      </c>
      <c r="D1" s="8">
        <f t="shared" si="1"/>
        <v>2017</v>
      </c>
      <c r="E1" s="8">
        <f t="shared" si="1"/>
        <v>2018</v>
      </c>
      <c r="F1" s="8">
        <f t="shared" si="1"/>
        <v>2019</v>
      </c>
      <c r="G1" s="8">
        <f t="shared" si="1"/>
        <v>2020</v>
      </c>
      <c r="H1" s="8">
        <f t="shared" si="1"/>
        <v>2021</v>
      </c>
      <c r="I1" s="8">
        <v>2022.0</v>
      </c>
    </row>
    <row r="2">
      <c r="A2" s="2" t="s">
        <v>10</v>
      </c>
      <c r="B2" s="9">
        <v>30601.0</v>
      </c>
      <c r="C2" s="9">
        <v>32376.0</v>
      </c>
      <c r="D2" s="9">
        <v>34350.0</v>
      </c>
      <c r="E2" s="9">
        <v>36397.0</v>
      </c>
      <c r="F2" s="9">
        <v>39117.0</v>
      </c>
      <c r="G2" s="9">
        <v>37403.0</v>
      </c>
      <c r="H2" s="9">
        <v>44538.0</v>
      </c>
      <c r="I2" s="9">
        <v>46710.0</v>
      </c>
      <c r="K2" s="9">
        <v>27799.0</v>
      </c>
    </row>
    <row r="3">
      <c r="A3" s="10" t="s">
        <v>11</v>
      </c>
      <c r="B3" s="11">
        <v>16534.0</v>
      </c>
      <c r="C3" s="11">
        <v>17405.0</v>
      </c>
      <c r="D3" s="11">
        <v>19038.0</v>
      </c>
      <c r="E3" s="11">
        <v>20441.0</v>
      </c>
      <c r="F3" s="11">
        <v>21643.0</v>
      </c>
      <c r="G3" s="11">
        <v>21162.0</v>
      </c>
      <c r="H3" s="11">
        <v>24576.0</v>
      </c>
      <c r="I3" s="11">
        <v>25231.0</v>
      </c>
    </row>
    <row r="4">
      <c r="A4" s="3" t="s">
        <v>12</v>
      </c>
      <c r="B4" s="12">
        <f>+B2-B3</f>
        <v>14067</v>
      </c>
      <c r="C4" s="12">
        <f>C2-C3</f>
        <v>14971</v>
      </c>
      <c r="D4" s="12">
        <f t="shared" ref="D4:I4" si="2">+D2-D3</f>
        <v>15312</v>
      </c>
      <c r="E4" s="12">
        <f t="shared" si="2"/>
        <v>15956</v>
      </c>
      <c r="F4" s="12">
        <f t="shared" si="2"/>
        <v>17474</v>
      </c>
      <c r="G4" s="12">
        <f t="shared" si="2"/>
        <v>16241</v>
      </c>
      <c r="H4" s="12">
        <f t="shared" si="2"/>
        <v>19962</v>
      </c>
      <c r="I4" s="12">
        <f t="shared" si="2"/>
        <v>21479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4" t="s">
        <v>13</v>
      </c>
      <c r="B5" s="9">
        <v>3213.0</v>
      </c>
      <c r="C5" s="9">
        <v>3278.0</v>
      </c>
      <c r="D5" s="9">
        <v>3341.0</v>
      </c>
      <c r="E5" s="9">
        <v>3577.0</v>
      </c>
      <c r="F5" s="9">
        <v>3753.0</v>
      </c>
      <c r="G5" s="9">
        <v>3592.0</v>
      </c>
      <c r="H5" s="9">
        <v>3114.0</v>
      </c>
      <c r="I5" s="9">
        <v>3850.0</v>
      </c>
    </row>
    <row r="6">
      <c r="A6" s="4" t="s">
        <v>14</v>
      </c>
      <c r="B6" s="9">
        <v>6679.0</v>
      </c>
      <c r="C6" s="9">
        <v>7191.0</v>
      </c>
      <c r="D6" s="9">
        <v>7222.0</v>
      </c>
      <c r="E6" s="9">
        <v>7934.0</v>
      </c>
      <c r="F6" s="9">
        <v>8949.0</v>
      </c>
      <c r="G6" s="9">
        <v>9534.0</v>
      </c>
      <c r="H6" s="9">
        <v>9911.0</v>
      </c>
      <c r="I6" s="9">
        <v>10954.0</v>
      </c>
    </row>
    <row r="7">
      <c r="A7" s="13" t="s">
        <v>15</v>
      </c>
      <c r="B7" s="14">
        <f t="shared" ref="B7:I7" si="3">+B5+B6</f>
        <v>9892</v>
      </c>
      <c r="C7" s="14">
        <f t="shared" si="3"/>
        <v>10469</v>
      </c>
      <c r="D7" s="14">
        <f t="shared" si="3"/>
        <v>10563</v>
      </c>
      <c r="E7" s="14">
        <f t="shared" si="3"/>
        <v>11511</v>
      </c>
      <c r="F7" s="14">
        <f t="shared" si="3"/>
        <v>12702</v>
      </c>
      <c r="G7" s="14">
        <f t="shared" si="3"/>
        <v>13126</v>
      </c>
      <c r="H7" s="14">
        <f t="shared" si="3"/>
        <v>13025</v>
      </c>
      <c r="I7" s="14">
        <f t="shared" si="3"/>
        <v>14804</v>
      </c>
    </row>
    <row r="8">
      <c r="A8" s="4" t="s">
        <v>16</v>
      </c>
      <c r="B8" s="9">
        <v>28.0</v>
      </c>
      <c r="C8" s="9">
        <v>19.0</v>
      </c>
      <c r="D8" s="9">
        <v>59.0</v>
      </c>
      <c r="E8" s="9">
        <v>54.0</v>
      </c>
      <c r="F8" s="9">
        <v>49.0</v>
      </c>
      <c r="G8" s="9">
        <v>89.0</v>
      </c>
      <c r="H8" s="9">
        <v>262.0</v>
      </c>
      <c r="I8" s="9">
        <v>205.0</v>
      </c>
    </row>
    <row r="9">
      <c r="A9" s="4" t="s">
        <v>17</v>
      </c>
      <c r="B9" s="9">
        <v>-58.0</v>
      </c>
      <c r="C9" s="9">
        <v>-140.0</v>
      </c>
      <c r="D9" s="9">
        <v>-196.0</v>
      </c>
      <c r="E9" s="2">
        <v>66.0</v>
      </c>
      <c r="F9" s="9">
        <v>-78.0</v>
      </c>
      <c r="G9" s="9">
        <v>139.0</v>
      </c>
      <c r="H9" s="9">
        <v>14.0</v>
      </c>
      <c r="I9" s="9">
        <v>-181.0</v>
      </c>
    </row>
    <row r="10">
      <c r="A10" s="15" t="s">
        <v>18</v>
      </c>
      <c r="B10" s="16">
        <f t="shared" ref="B10:I10" si="4">+B4-B7-B8-B9</f>
        <v>4205</v>
      </c>
      <c r="C10" s="16">
        <f t="shared" si="4"/>
        <v>4623</v>
      </c>
      <c r="D10" s="16">
        <f t="shared" si="4"/>
        <v>4886</v>
      </c>
      <c r="E10" s="16">
        <f t="shared" si="4"/>
        <v>4325</v>
      </c>
      <c r="F10" s="16">
        <f t="shared" si="4"/>
        <v>4801</v>
      </c>
      <c r="G10" s="16">
        <f t="shared" si="4"/>
        <v>2887</v>
      </c>
      <c r="H10" s="16">
        <f t="shared" si="4"/>
        <v>6661</v>
      </c>
      <c r="I10" s="16">
        <f t="shared" si="4"/>
        <v>6651</v>
      </c>
      <c r="K10" s="12">
        <v>3577.0</v>
      </c>
    </row>
    <row r="11">
      <c r="A11" s="4" t="s">
        <v>19</v>
      </c>
      <c r="B11" s="9">
        <v>932.0</v>
      </c>
      <c r="C11" s="9">
        <v>863.0</v>
      </c>
      <c r="D11" s="9">
        <v>646.0</v>
      </c>
      <c r="E11" s="9">
        <v>2392.0</v>
      </c>
      <c r="F11" s="9">
        <v>772.0</v>
      </c>
      <c r="G11" s="9">
        <v>348.0</v>
      </c>
      <c r="H11" s="9">
        <v>934.0</v>
      </c>
      <c r="I11" s="9">
        <v>605.0</v>
      </c>
      <c r="K11" s="12"/>
    </row>
    <row r="12">
      <c r="A12" s="17" t="s">
        <v>20</v>
      </c>
      <c r="B12" s="18">
        <f t="shared" ref="B12:I12" si="5">+B10-B11</f>
        <v>3273</v>
      </c>
      <c r="C12" s="18">
        <f t="shared" si="5"/>
        <v>3760</v>
      </c>
      <c r="D12" s="18">
        <f t="shared" si="5"/>
        <v>4240</v>
      </c>
      <c r="E12" s="18">
        <f t="shared" si="5"/>
        <v>1933</v>
      </c>
      <c r="F12" s="18">
        <f t="shared" si="5"/>
        <v>4029</v>
      </c>
      <c r="G12" s="18">
        <f t="shared" si="5"/>
        <v>2539</v>
      </c>
      <c r="H12" s="18">
        <f t="shared" si="5"/>
        <v>5727</v>
      </c>
      <c r="I12" s="18">
        <f t="shared" si="5"/>
        <v>6046</v>
      </c>
    </row>
    <row r="13">
      <c r="A13" s="3" t="s">
        <v>21</v>
      </c>
    </row>
    <row r="14">
      <c r="A14" s="4" t="s">
        <v>22</v>
      </c>
      <c r="B14" s="2">
        <v>1.9</v>
      </c>
      <c r="C14" s="2">
        <v>2.21</v>
      </c>
      <c r="D14" s="2">
        <v>2.56</v>
      </c>
      <c r="E14" s="2">
        <v>1.19</v>
      </c>
      <c r="F14" s="2">
        <v>2.55</v>
      </c>
      <c r="G14" s="2">
        <v>1.63</v>
      </c>
      <c r="H14" s="2">
        <v>3.64</v>
      </c>
      <c r="I14" s="2">
        <v>3.83</v>
      </c>
      <c r="K14" s="2">
        <v>3.05</v>
      </c>
    </row>
    <row r="15">
      <c r="A15" s="4" t="s">
        <v>23</v>
      </c>
      <c r="B15" s="2">
        <v>1.85</v>
      </c>
      <c r="C15" s="2">
        <v>2.16</v>
      </c>
      <c r="D15" s="2">
        <v>2.51</v>
      </c>
      <c r="E15" s="2">
        <v>1.17</v>
      </c>
      <c r="F15" s="2">
        <v>2.49</v>
      </c>
      <c r="G15" s="2">
        <v>1.6</v>
      </c>
      <c r="H15" s="2">
        <v>3.56</v>
      </c>
      <c r="I15" s="2">
        <v>3.75</v>
      </c>
      <c r="K15" s="2">
        <v>2.97</v>
      </c>
    </row>
    <row r="16">
      <c r="A16" s="3" t="s">
        <v>24</v>
      </c>
    </row>
    <row r="17">
      <c r="A17" s="4" t="s">
        <v>22</v>
      </c>
      <c r="B17" s="19">
        <v>1723.5</v>
      </c>
      <c r="C17" s="19">
        <v>1697.9</v>
      </c>
      <c r="D17" s="19">
        <v>1657.8</v>
      </c>
      <c r="E17" s="19">
        <v>1623.8</v>
      </c>
      <c r="F17" s="19">
        <v>1579.7</v>
      </c>
      <c r="G17" s="19">
        <v>1558.8</v>
      </c>
      <c r="H17" s="19">
        <v>1573.0</v>
      </c>
      <c r="I17" s="19">
        <v>1578.8</v>
      </c>
      <c r="K17" s="19">
        <v>883.0</v>
      </c>
    </row>
    <row r="18">
      <c r="A18" s="4" t="s">
        <v>23</v>
      </c>
      <c r="B18" s="19">
        <v>1768.8</v>
      </c>
      <c r="C18" s="19">
        <v>1742.5</v>
      </c>
      <c r="D18" s="19">
        <v>1692.0</v>
      </c>
      <c r="E18" s="19">
        <v>1659.1</v>
      </c>
      <c r="F18" s="19">
        <v>1618.4</v>
      </c>
      <c r="G18" s="19">
        <v>1591.6</v>
      </c>
      <c r="H18" s="19">
        <v>1609.4</v>
      </c>
      <c r="I18" s="19">
        <v>1610.8</v>
      </c>
      <c r="K18" s="19">
        <v>905.0</v>
      </c>
    </row>
    <row r="20">
      <c r="A20" s="20" t="s">
        <v>25</v>
      </c>
      <c r="B20" s="21">
        <f t="shared" ref="B20:I20" si="6">+ROUND(((B12/B18)-B15),2)</f>
        <v>0</v>
      </c>
      <c r="C20" s="21">
        <f t="shared" si="6"/>
        <v>0</v>
      </c>
      <c r="D20" s="21">
        <f t="shared" si="6"/>
        <v>0</v>
      </c>
      <c r="E20" s="21">
        <f t="shared" si="6"/>
        <v>0</v>
      </c>
      <c r="F20" s="21">
        <f t="shared" si="6"/>
        <v>0</v>
      </c>
      <c r="G20" s="21">
        <f t="shared" si="6"/>
        <v>0</v>
      </c>
      <c r="H20" s="21">
        <f t="shared" si="6"/>
        <v>0</v>
      </c>
      <c r="I20" s="21">
        <f t="shared" si="6"/>
        <v>0</v>
      </c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ht="15.75" customHeight="1"/>
    <row r="22" ht="15.75" customHeight="1">
      <c r="A22" s="22" t="s">
        <v>26</v>
      </c>
      <c r="B22" s="22"/>
      <c r="C22" s="22"/>
      <c r="D22" s="22"/>
      <c r="E22" s="22"/>
      <c r="F22" s="22"/>
      <c r="G22" s="22"/>
      <c r="H22" s="22"/>
      <c r="I22" s="22"/>
      <c r="K22" s="23">
        <v>2014.0</v>
      </c>
    </row>
    <row r="23" ht="15.75" customHeight="1">
      <c r="A23" s="3" t="s">
        <v>27</v>
      </c>
      <c r="M23" s="2" t="s">
        <v>28</v>
      </c>
      <c r="N23" s="2">
        <f>K27+K28-K41</f>
        <v>5451</v>
      </c>
    </row>
    <row r="24" ht="15.75" customHeight="1">
      <c r="A24" s="24" t="s">
        <v>29</v>
      </c>
      <c r="B24" s="9"/>
      <c r="C24" s="9"/>
      <c r="D24" s="9"/>
      <c r="E24" s="9"/>
      <c r="F24" s="9"/>
      <c r="G24" s="9"/>
      <c r="H24" s="9"/>
      <c r="I24" s="9"/>
      <c r="M24" s="2" t="s">
        <v>30</v>
      </c>
      <c r="N24" s="25">
        <f>ABS(K18/K93)</f>
        <v>1.132665832</v>
      </c>
    </row>
    <row r="25" ht="15.75" customHeight="1">
      <c r="A25" s="4" t="s">
        <v>31</v>
      </c>
      <c r="B25" s="9">
        <v>3852.0</v>
      </c>
      <c r="C25" s="9">
        <v>3138.0</v>
      </c>
      <c r="D25" s="9">
        <v>3808.0</v>
      </c>
      <c r="E25" s="9">
        <v>4249.0</v>
      </c>
      <c r="F25" s="9">
        <v>4466.0</v>
      </c>
      <c r="G25" s="9">
        <v>8348.0</v>
      </c>
      <c r="H25" s="9">
        <v>9889.0</v>
      </c>
      <c r="I25" s="9">
        <v>8574.0</v>
      </c>
    </row>
    <row r="26" ht="15.75" customHeight="1">
      <c r="A26" s="4" t="s">
        <v>32</v>
      </c>
      <c r="B26" s="9">
        <v>2072.0</v>
      </c>
      <c r="C26" s="9">
        <v>2319.0</v>
      </c>
      <c r="D26" s="9">
        <v>2371.0</v>
      </c>
      <c r="E26" s="9">
        <v>996.0</v>
      </c>
      <c r="F26" s="9">
        <v>197.0</v>
      </c>
      <c r="G26" s="9">
        <v>439.0</v>
      </c>
      <c r="H26" s="9">
        <v>3587.0</v>
      </c>
      <c r="I26" s="9">
        <v>4423.0</v>
      </c>
    </row>
    <row r="27" ht="15.75" customHeight="1">
      <c r="A27" s="4" t="s">
        <v>33</v>
      </c>
      <c r="B27" s="9">
        <v>3358.0</v>
      </c>
      <c r="C27" s="9">
        <v>3241.0</v>
      </c>
      <c r="D27" s="9">
        <v>3677.0</v>
      </c>
      <c r="E27" s="9">
        <v>3498.0</v>
      </c>
      <c r="F27" s="9">
        <v>4272.0</v>
      </c>
      <c r="G27" s="6">
        <v>2749.0</v>
      </c>
      <c r="H27" s="9">
        <v>4463.0</v>
      </c>
      <c r="I27" s="9">
        <v>4667.0</v>
      </c>
      <c r="K27" s="2">
        <v>3434.0</v>
      </c>
    </row>
    <row r="28" ht="15.75" customHeight="1">
      <c r="A28" s="4" t="s">
        <v>34</v>
      </c>
      <c r="B28" s="9">
        <v>4337.0</v>
      </c>
      <c r="C28" s="9">
        <v>4838.0</v>
      </c>
      <c r="D28" s="9">
        <v>5055.0</v>
      </c>
      <c r="E28" s="9">
        <v>5261.0</v>
      </c>
      <c r="F28" s="9">
        <v>5622.0</v>
      </c>
      <c r="G28" s="9">
        <v>7367.0</v>
      </c>
      <c r="H28" s="9">
        <v>6854.0</v>
      </c>
      <c r="I28" s="9">
        <v>8420.0</v>
      </c>
      <c r="K28" s="2">
        <v>3947.0</v>
      </c>
    </row>
    <row r="29" ht="15.75" customHeight="1">
      <c r="A29" s="4" t="s">
        <v>35</v>
      </c>
      <c r="B29" s="9">
        <v>1968.0</v>
      </c>
      <c r="C29" s="9">
        <v>1489.0</v>
      </c>
      <c r="D29" s="9">
        <v>1150.0</v>
      </c>
      <c r="E29" s="9">
        <v>1130.0</v>
      </c>
      <c r="F29" s="9">
        <v>1968.0</v>
      </c>
      <c r="G29" s="9">
        <v>1653.0</v>
      </c>
      <c r="H29" s="9">
        <v>1498.0</v>
      </c>
      <c r="I29" s="9">
        <v>2129.0</v>
      </c>
    </row>
    <row r="30" ht="15.75" customHeight="1">
      <c r="A30" s="15" t="s">
        <v>36</v>
      </c>
      <c r="B30" s="16">
        <f t="shared" ref="B30:I30" si="7">+SUM(B25:B29)</f>
        <v>15587</v>
      </c>
      <c r="C30" s="16">
        <f t="shared" si="7"/>
        <v>15025</v>
      </c>
      <c r="D30" s="16">
        <f t="shared" si="7"/>
        <v>16061</v>
      </c>
      <c r="E30" s="16">
        <f t="shared" si="7"/>
        <v>15134</v>
      </c>
      <c r="F30" s="16">
        <f t="shared" si="7"/>
        <v>16525</v>
      </c>
      <c r="G30" s="16">
        <f t="shared" si="7"/>
        <v>20556</v>
      </c>
      <c r="H30" s="16">
        <f t="shared" si="7"/>
        <v>26291</v>
      </c>
      <c r="I30" s="16">
        <f t="shared" si="7"/>
        <v>28213</v>
      </c>
    </row>
    <row r="31" ht="15.75" customHeight="1">
      <c r="A31" s="4" t="s">
        <v>37</v>
      </c>
      <c r="B31" s="9">
        <v>3011.0</v>
      </c>
      <c r="C31" s="9">
        <v>3520.0</v>
      </c>
      <c r="D31" s="9">
        <v>3989.0</v>
      </c>
      <c r="E31" s="9">
        <v>4454.0</v>
      </c>
      <c r="F31" s="9">
        <v>4744.0</v>
      </c>
      <c r="G31" s="9">
        <v>4866.0</v>
      </c>
      <c r="H31" s="9">
        <v>4904.0</v>
      </c>
      <c r="I31" s="9">
        <v>4791.0</v>
      </c>
    </row>
    <row r="32" ht="15.75" customHeight="1">
      <c r="A32" s="4" t="s">
        <v>38</v>
      </c>
      <c r="B32" s="9"/>
      <c r="C32" s="9"/>
      <c r="D32" s="9"/>
      <c r="E32" s="9"/>
      <c r="F32" s="9"/>
      <c r="G32" s="9">
        <v>3097.0</v>
      </c>
      <c r="H32" s="9">
        <v>3113.0</v>
      </c>
      <c r="I32" s="9">
        <v>2926.0</v>
      </c>
    </row>
    <row r="33" ht="15.75" customHeight="1">
      <c r="A33" s="4" t="s">
        <v>39</v>
      </c>
      <c r="B33" s="9">
        <v>281.0</v>
      </c>
      <c r="C33" s="9">
        <v>281.0</v>
      </c>
      <c r="D33" s="9">
        <v>283.0</v>
      </c>
      <c r="E33" s="9">
        <v>285.0</v>
      </c>
      <c r="F33" s="9">
        <v>283.0</v>
      </c>
      <c r="G33" s="9">
        <v>274.0</v>
      </c>
      <c r="H33" s="9">
        <v>269.0</v>
      </c>
      <c r="I33" s="9">
        <v>286.0</v>
      </c>
    </row>
    <row r="34" ht="15.75" customHeight="1">
      <c r="A34" s="4" t="s">
        <v>40</v>
      </c>
      <c r="B34" s="9">
        <v>131.0</v>
      </c>
      <c r="C34" s="9">
        <v>131.0</v>
      </c>
      <c r="D34" s="9">
        <v>139.0</v>
      </c>
      <c r="E34" s="9">
        <v>154.0</v>
      </c>
      <c r="F34" s="9">
        <v>154.0</v>
      </c>
      <c r="G34" s="9">
        <v>223.0</v>
      </c>
      <c r="H34" s="9">
        <v>242.0</v>
      </c>
      <c r="I34" s="9">
        <v>284.0</v>
      </c>
    </row>
    <row r="35" ht="15.75" customHeight="1">
      <c r="A35" s="4" t="s">
        <v>41</v>
      </c>
      <c r="B35" s="9">
        <v>2587.0</v>
      </c>
      <c r="C35" s="2">
        <v>2439.0</v>
      </c>
      <c r="D35" s="2">
        <v>2787.0</v>
      </c>
      <c r="E35" s="2">
        <v>2509.0</v>
      </c>
      <c r="F35" s="2">
        <v>2011.0</v>
      </c>
      <c r="G35" s="2">
        <v>2326.0</v>
      </c>
      <c r="H35" s="9">
        <v>2921.0</v>
      </c>
      <c r="I35" s="9">
        <v>3821.0</v>
      </c>
    </row>
    <row r="36" ht="15.75" customHeight="1">
      <c r="A36" s="17" t="s">
        <v>42</v>
      </c>
      <c r="B36" s="18">
        <f t="shared" ref="B36:I36" si="8">+SUM(B30:B35)</f>
        <v>21597</v>
      </c>
      <c r="C36" s="18">
        <f t="shared" si="8"/>
        <v>21396</v>
      </c>
      <c r="D36" s="18">
        <f t="shared" si="8"/>
        <v>23259</v>
      </c>
      <c r="E36" s="18">
        <f t="shared" si="8"/>
        <v>22536</v>
      </c>
      <c r="F36" s="18">
        <f t="shared" si="8"/>
        <v>23717</v>
      </c>
      <c r="G36" s="18">
        <f t="shared" si="8"/>
        <v>31342</v>
      </c>
      <c r="H36" s="18">
        <f t="shared" si="8"/>
        <v>37740</v>
      </c>
      <c r="I36" s="18">
        <f t="shared" si="8"/>
        <v>40321</v>
      </c>
    </row>
    <row r="37" ht="15.75" customHeight="1">
      <c r="A37" s="3" t="s">
        <v>43</v>
      </c>
      <c r="B37" s="9"/>
      <c r="C37" s="9"/>
      <c r="D37" s="9"/>
      <c r="E37" s="9"/>
      <c r="F37" s="9"/>
      <c r="G37" s="9"/>
      <c r="H37" s="9"/>
      <c r="I37" s="9"/>
    </row>
    <row r="38" ht="15.75" customHeight="1">
      <c r="A38" s="4" t="s">
        <v>44</v>
      </c>
      <c r="B38" s="9"/>
      <c r="C38" s="9"/>
      <c r="D38" s="9"/>
      <c r="E38" s="9"/>
      <c r="F38" s="9"/>
      <c r="G38" s="9"/>
      <c r="H38" s="9"/>
      <c r="I38" s="9"/>
    </row>
    <row r="39" ht="15.75" customHeight="1">
      <c r="A39" s="4" t="s">
        <v>45</v>
      </c>
      <c r="B39" s="9">
        <v>107.0</v>
      </c>
      <c r="C39" s="9">
        <v>44.0</v>
      </c>
      <c r="D39" s="9">
        <v>6.0</v>
      </c>
      <c r="E39" s="9">
        <v>6.0</v>
      </c>
      <c r="F39" s="9">
        <v>6.0</v>
      </c>
      <c r="G39" s="9">
        <v>3.0</v>
      </c>
      <c r="H39" s="9">
        <v>0.0</v>
      </c>
      <c r="I39" s="9">
        <v>500.0</v>
      </c>
    </row>
    <row r="40" ht="15.75" customHeight="1">
      <c r="A40" s="4" t="s">
        <v>46</v>
      </c>
      <c r="B40" s="9">
        <v>74.0</v>
      </c>
      <c r="C40" s="9">
        <v>1.0</v>
      </c>
      <c r="D40" s="9">
        <v>325.0</v>
      </c>
      <c r="E40" s="9">
        <v>336.0</v>
      </c>
      <c r="F40" s="9">
        <v>9.0</v>
      </c>
      <c r="G40" s="9">
        <v>248.0</v>
      </c>
      <c r="H40" s="9">
        <v>2.0</v>
      </c>
      <c r="I40" s="9">
        <v>10.0</v>
      </c>
    </row>
    <row r="41" ht="15.75" customHeight="1">
      <c r="A41" s="4" t="s">
        <v>47</v>
      </c>
      <c r="B41" s="9">
        <v>2131.0</v>
      </c>
      <c r="C41" s="9">
        <v>2191.0</v>
      </c>
      <c r="D41" s="9">
        <v>2048.0</v>
      </c>
      <c r="E41" s="9">
        <v>2279.0</v>
      </c>
      <c r="F41" s="9">
        <v>2612.0</v>
      </c>
      <c r="G41" s="9">
        <v>2248.0</v>
      </c>
      <c r="H41" s="9">
        <v>2836.0</v>
      </c>
      <c r="I41" s="9">
        <v>3358.0</v>
      </c>
      <c r="K41" s="2">
        <v>1930.0</v>
      </c>
    </row>
    <row r="42" ht="15.75" customHeight="1">
      <c r="A42" s="4" t="s">
        <v>48</v>
      </c>
      <c r="B42" s="9"/>
      <c r="D42" s="9"/>
      <c r="E42" s="9"/>
      <c r="F42" s="9"/>
      <c r="G42" s="9">
        <v>445.0</v>
      </c>
      <c r="H42" s="9">
        <v>467.0</v>
      </c>
      <c r="I42" s="9">
        <v>420.0</v>
      </c>
    </row>
    <row r="43" ht="15.75" customHeight="1">
      <c r="A43" s="4" t="s">
        <v>49</v>
      </c>
      <c r="B43" s="9">
        <v>3949.0</v>
      </c>
      <c r="C43" s="9">
        <v>3037.0</v>
      </c>
      <c r="D43" s="9">
        <v>3011.0</v>
      </c>
      <c r="E43" s="9">
        <v>3269.0</v>
      </c>
      <c r="F43" s="9">
        <v>5010.0</v>
      </c>
      <c r="G43" s="9">
        <v>5184.0</v>
      </c>
      <c r="H43" s="9">
        <v>6063.0</v>
      </c>
      <c r="I43" s="9">
        <v>6220.0</v>
      </c>
    </row>
    <row r="44" ht="15.75" customHeight="1">
      <c r="A44" s="4" t="s">
        <v>50</v>
      </c>
      <c r="B44" s="9">
        <v>71.0</v>
      </c>
      <c r="C44" s="9">
        <v>85.0</v>
      </c>
      <c r="D44" s="9">
        <v>84.0</v>
      </c>
      <c r="E44" s="9">
        <v>150.0</v>
      </c>
      <c r="F44" s="9">
        <v>229.0</v>
      </c>
      <c r="G44" s="9">
        <v>156.0</v>
      </c>
      <c r="H44" s="9">
        <v>306.0</v>
      </c>
      <c r="I44" s="9">
        <v>222.0</v>
      </c>
    </row>
    <row r="45" ht="15.75" customHeight="1">
      <c r="A45" s="15" t="s">
        <v>51</v>
      </c>
      <c r="B45" s="16">
        <f t="shared" ref="B45:I45" si="9">+SUM(B39:B44)</f>
        <v>6332</v>
      </c>
      <c r="C45" s="16">
        <f t="shared" si="9"/>
        <v>5358</v>
      </c>
      <c r="D45" s="16">
        <f t="shared" si="9"/>
        <v>5474</v>
      </c>
      <c r="E45" s="16">
        <f t="shared" si="9"/>
        <v>6040</v>
      </c>
      <c r="F45" s="16">
        <f t="shared" si="9"/>
        <v>7866</v>
      </c>
      <c r="G45" s="16">
        <f t="shared" si="9"/>
        <v>8284</v>
      </c>
      <c r="H45" s="16">
        <f t="shared" si="9"/>
        <v>9674</v>
      </c>
      <c r="I45" s="16">
        <f t="shared" si="9"/>
        <v>10730</v>
      </c>
    </row>
    <row r="46" ht="15.75" customHeight="1">
      <c r="A46" s="4" t="s">
        <v>52</v>
      </c>
      <c r="B46" s="9">
        <v>1079.0</v>
      </c>
      <c r="C46" s="9">
        <v>2010.0</v>
      </c>
      <c r="D46" s="9">
        <v>3471.0</v>
      </c>
      <c r="E46" s="9">
        <v>3468.0</v>
      </c>
      <c r="F46" s="9">
        <v>3464.0</v>
      </c>
      <c r="G46" s="9">
        <v>9406.0</v>
      </c>
      <c r="H46" s="9">
        <v>9413.0</v>
      </c>
      <c r="I46" s="9">
        <v>8920.0</v>
      </c>
    </row>
    <row r="47" ht="15.75" customHeight="1">
      <c r="A47" s="4" t="s">
        <v>53</v>
      </c>
      <c r="B47" s="9"/>
      <c r="C47" s="9"/>
      <c r="D47" s="9"/>
      <c r="F47" s="9"/>
      <c r="G47" s="9">
        <v>2913.0</v>
      </c>
      <c r="H47" s="9">
        <v>2931.0</v>
      </c>
      <c r="I47" s="9">
        <v>2777.0</v>
      </c>
    </row>
    <row r="48" ht="15.75" customHeight="1">
      <c r="A48" s="4" t="s">
        <v>54</v>
      </c>
      <c r="B48" s="9">
        <v>1479.0</v>
      </c>
      <c r="C48" s="9">
        <v>1770.0</v>
      </c>
      <c r="D48" s="9">
        <v>1907.0</v>
      </c>
      <c r="E48" s="9">
        <v>3216.0</v>
      </c>
      <c r="F48" s="9">
        <v>3347.0</v>
      </c>
      <c r="G48" s="9">
        <v>2684.0</v>
      </c>
      <c r="H48" s="9">
        <v>2955.0</v>
      </c>
      <c r="I48" s="9">
        <v>2613.0</v>
      </c>
    </row>
    <row r="49" ht="15.75" customHeight="1">
      <c r="A49" s="4" t="s">
        <v>55</v>
      </c>
      <c r="B49" s="9"/>
      <c r="C49" s="9"/>
      <c r="D49" s="9"/>
      <c r="E49" s="9"/>
      <c r="F49" s="9"/>
      <c r="G49" s="9"/>
      <c r="H49" s="9"/>
      <c r="I49" s="9"/>
    </row>
    <row r="50" ht="15.75" customHeight="1">
      <c r="A50" s="4" t="s">
        <v>56</v>
      </c>
      <c r="B50" s="9"/>
      <c r="C50" s="9"/>
      <c r="D50" s="9"/>
      <c r="E50" s="9"/>
      <c r="F50" s="9"/>
      <c r="G50" s="9"/>
      <c r="H50" s="9">
        <v>0.0</v>
      </c>
      <c r="I50" s="9">
        <v>0.0</v>
      </c>
    </row>
    <row r="51" ht="15.75" customHeight="1">
      <c r="A51" s="4" t="s">
        <v>57</v>
      </c>
      <c r="B51" s="9"/>
      <c r="C51" s="9"/>
      <c r="D51" s="9"/>
      <c r="E51" s="9"/>
      <c r="F51" s="9"/>
      <c r="G51" s="9"/>
      <c r="H51" s="9"/>
      <c r="I51" s="9"/>
    </row>
    <row r="52" ht="15.75" customHeight="1">
      <c r="A52" s="4" t="s">
        <v>58</v>
      </c>
      <c r="B52" s="9"/>
      <c r="C52" s="9"/>
      <c r="D52" s="9"/>
      <c r="E52" s="9"/>
      <c r="F52" s="9"/>
      <c r="G52" s="9"/>
      <c r="H52" s="9"/>
      <c r="I52" s="9"/>
    </row>
    <row r="53" ht="15.75" customHeight="1">
      <c r="A53" s="4" t="s">
        <v>59</v>
      </c>
      <c r="B53" s="9"/>
      <c r="C53" s="9"/>
      <c r="D53" s="9"/>
      <c r="E53" s="9"/>
      <c r="F53" s="9"/>
      <c r="G53" s="9"/>
      <c r="H53" s="9"/>
      <c r="I53" s="9"/>
    </row>
    <row r="54" ht="15.75" customHeight="1">
      <c r="A54" s="4" t="s">
        <v>60</v>
      </c>
      <c r="B54" s="9">
        <v>3.0</v>
      </c>
      <c r="C54" s="9">
        <v>3.0</v>
      </c>
      <c r="D54" s="9">
        <v>3.0</v>
      </c>
      <c r="E54" s="9">
        <v>3.0</v>
      </c>
      <c r="F54" s="9">
        <v>3.0</v>
      </c>
      <c r="G54" s="9">
        <v>3.0</v>
      </c>
      <c r="H54" s="9">
        <v>3.0</v>
      </c>
      <c r="I54" s="9">
        <v>3.0</v>
      </c>
    </row>
    <row r="55" ht="15.75" customHeight="1">
      <c r="A55" s="4" t="s">
        <v>61</v>
      </c>
      <c r="B55" s="9">
        <v>6773.0</v>
      </c>
      <c r="C55" s="9">
        <v>7786.0</v>
      </c>
      <c r="D55" s="9">
        <v>5710.0</v>
      </c>
      <c r="E55" s="9">
        <v>6384.0</v>
      </c>
      <c r="F55" s="9">
        <v>7163.0</v>
      </c>
      <c r="G55" s="9">
        <v>8299.0</v>
      </c>
      <c r="H55" s="9">
        <v>9965.0</v>
      </c>
      <c r="I55" s="9">
        <v>11484.0</v>
      </c>
    </row>
    <row r="56" ht="15.75" customHeight="1">
      <c r="A56" s="4" t="s">
        <v>62</v>
      </c>
      <c r="B56" s="9">
        <v>1246.0</v>
      </c>
      <c r="C56" s="9">
        <v>318.0</v>
      </c>
      <c r="D56" s="9">
        <v>-213.0</v>
      </c>
      <c r="E56" s="9">
        <v>-92.0</v>
      </c>
      <c r="F56" s="9">
        <v>231.0</v>
      </c>
      <c r="G56" s="9">
        <v>-56.0</v>
      </c>
      <c r="H56" s="9">
        <v>-380.0</v>
      </c>
      <c r="I56" s="9">
        <v>318.0</v>
      </c>
    </row>
    <row r="57" ht="15.75" customHeight="1">
      <c r="A57" s="4" t="s">
        <v>63</v>
      </c>
      <c r="B57" s="9">
        <v>4685.0</v>
      </c>
      <c r="C57" s="9">
        <v>4151.0</v>
      </c>
      <c r="D57" s="9">
        <v>6907.0</v>
      </c>
      <c r="E57" s="9">
        <v>3517.0</v>
      </c>
      <c r="F57" s="9">
        <v>1643.0</v>
      </c>
      <c r="G57" s="9">
        <v>-191.0</v>
      </c>
      <c r="H57" s="9">
        <v>3179.0</v>
      </c>
      <c r="I57" s="9">
        <v>3476.0</v>
      </c>
    </row>
    <row r="58" ht="15.75" customHeight="1">
      <c r="A58" s="15" t="s">
        <v>64</v>
      </c>
      <c r="B58" s="16">
        <f t="shared" ref="B58:I58" si="10">+SUM(B53:B57)</f>
        <v>12707</v>
      </c>
      <c r="C58" s="16">
        <f t="shared" si="10"/>
        <v>12258</v>
      </c>
      <c r="D58" s="16">
        <f t="shared" si="10"/>
        <v>12407</v>
      </c>
      <c r="E58" s="16">
        <f t="shared" si="10"/>
        <v>9812</v>
      </c>
      <c r="F58" s="16">
        <f t="shared" si="10"/>
        <v>9040</v>
      </c>
      <c r="G58" s="16">
        <f t="shared" si="10"/>
        <v>8055</v>
      </c>
      <c r="H58" s="16">
        <f t="shared" si="10"/>
        <v>12767</v>
      </c>
      <c r="I58" s="16">
        <f t="shared" si="10"/>
        <v>15281</v>
      </c>
    </row>
    <row r="59" ht="15.75" customHeight="1">
      <c r="A59" s="17" t="s">
        <v>65</v>
      </c>
      <c r="B59" s="18">
        <f t="shared" ref="B59:I59" si="11">+SUM(B45:B50)+B58</f>
        <v>21597</v>
      </c>
      <c r="C59" s="18">
        <f t="shared" si="11"/>
        <v>21396</v>
      </c>
      <c r="D59" s="18">
        <f t="shared" si="11"/>
        <v>23259</v>
      </c>
      <c r="E59" s="18">
        <f t="shared" si="11"/>
        <v>22536</v>
      </c>
      <c r="F59" s="18">
        <f t="shared" si="11"/>
        <v>23717</v>
      </c>
      <c r="G59" s="18">
        <f t="shared" si="11"/>
        <v>31342</v>
      </c>
      <c r="H59" s="18">
        <f t="shared" si="11"/>
        <v>37740</v>
      </c>
      <c r="I59" s="18">
        <f t="shared" si="11"/>
        <v>40321</v>
      </c>
    </row>
    <row r="60" ht="15.75" customHeight="1">
      <c r="A60" s="20" t="s">
        <v>66</v>
      </c>
      <c r="B60" s="21">
        <f t="shared" ref="B60:I60" si="12">+B59-B36</f>
        <v>0</v>
      </c>
      <c r="C60" s="21">
        <f t="shared" si="12"/>
        <v>0</v>
      </c>
      <c r="D60" s="21">
        <f t="shared" si="12"/>
        <v>0</v>
      </c>
      <c r="E60" s="21">
        <f t="shared" si="12"/>
        <v>0</v>
      </c>
      <c r="F60" s="21">
        <f t="shared" si="12"/>
        <v>0</v>
      </c>
      <c r="G60" s="21">
        <f t="shared" si="12"/>
        <v>0</v>
      </c>
      <c r="H60" s="21">
        <f t="shared" si="12"/>
        <v>0</v>
      </c>
      <c r="I60" s="21">
        <f t="shared" si="12"/>
        <v>0</v>
      </c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ht="15.75" customHeight="1">
      <c r="A61" s="22" t="s">
        <v>67</v>
      </c>
      <c r="B61" s="22"/>
      <c r="C61" s="22"/>
      <c r="D61" s="22"/>
      <c r="E61" s="22"/>
      <c r="F61" s="22"/>
      <c r="G61" s="22"/>
      <c r="H61" s="22"/>
      <c r="I61" s="22"/>
    </row>
    <row r="62" ht="15.75" customHeight="1">
      <c r="A62" s="2" t="s">
        <v>68</v>
      </c>
    </row>
    <row r="63" ht="15.75" customHeight="1">
      <c r="A63" s="3" t="s">
        <v>69</v>
      </c>
    </row>
    <row r="64" ht="15.75" customHeight="1">
      <c r="A64" s="24" t="s">
        <v>70</v>
      </c>
      <c r="B64" s="12">
        <v>3273.0</v>
      </c>
      <c r="C64" s="12">
        <v>3760.0</v>
      </c>
      <c r="D64" s="12">
        <v>4240.0</v>
      </c>
      <c r="E64" s="12">
        <v>1933.0</v>
      </c>
      <c r="F64" s="12">
        <v>4029.0</v>
      </c>
      <c r="G64" s="12">
        <v>2539.0</v>
      </c>
      <c r="H64" s="12">
        <f t="shared" ref="H64:I64" si="13">+H12</f>
        <v>5727</v>
      </c>
      <c r="I64" s="12">
        <f t="shared" si="13"/>
        <v>6046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4" t="s">
        <v>71</v>
      </c>
      <c r="B65" s="9"/>
      <c r="C65" s="9"/>
      <c r="D65" s="9"/>
      <c r="E65" s="9"/>
      <c r="F65" s="9"/>
      <c r="G65" s="9"/>
      <c r="H65" s="9"/>
      <c r="I65" s="9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4" t="s">
        <v>72</v>
      </c>
      <c r="B66" s="9">
        <v>606.0</v>
      </c>
      <c r="C66" s="9">
        <v>649.0</v>
      </c>
      <c r="D66" s="9">
        <v>706.0</v>
      </c>
      <c r="E66" s="9">
        <v>747.0</v>
      </c>
      <c r="F66" s="9">
        <v>705.0</v>
      </c>
      <c r="G66" s="9">
        <v>721.0</v>
      </c>
      <c r="H66" s="9">
        <v>744.0</v>
      </c>
      <c r="I66" s="9">
        <v>717.0</v>
      </c>
    </row>
    <row r="67" ht="15.75" customHeight="1">
      <c r="A67" s="4" t="s">
        <v>73</v>
      </c>
      <c r="B67" s="9">
        <v>-113.0</v>
      </c>
      <c r="C67" s="9">
        <v>-80.0</v>
      </c>
      <c r="D67" s="9">
        <v>-273.0</v>
      </c>
      <c r="E67" s="9">
        <v>647.0</v>
      </c>
      <c r="F67" s="9">
        <v>34.0</v>
      </c>
      <c r="G67" s="9">
        <v>-380.0</v>
      </c>
      <c r="H67" s="9">
        <v>-385.0</v>
      </c>
      <c r="I67" s="9">
        <v>-650.0</v>
      </c>
    </row>
    <row r="68" ht="15.75" customHeight="1">
      <c r="A68" s="4" t="s">
        <v>74</v>
      </c>
      <c r="B68" s="9">
        <v>119.0</v>
      </c>
      <c r="C68" s="9">
        <v>236.0</v>
      </c>
      <c r="D68" s="9">
        <v>215.0</v>
      </c>
      <c r="E68" s="9">
        <v>218.0</v>
      </c>
      <c r="F68" s="9">
        <v>325.0</v>
      </c>
      <c r="G68" s="9">
        <v>429.0</v>
      </c>
      <c r="H68" s="9">
        <v>611.0</v>
      </c>
      <c r="I68" s="9">
        <v>638.0</v>
      </c>
    </row>
    <row r="69" ht="15.75" customHeight="1">
      <c r="A69" s="4" t="s">
        <v>75</v>
      </c>
      <c r="B69" s="9">
        <v>43.0</v>
      </c>
      <c r="C69" s="9">
        <v>13.0</v>
      </c>
      <c r="D69" s="9">
        <v>10.0</v>
      </c>
      <c r="E69" s="9">
        <v>27.0</v>
      </c>
      <c r="F69" s="9">
        <v>15.0</v>
      </c>
      <c r="G69" s="9">
        <v>398.0</v>
      </c>
      <c r="H69" s="9">
        <v>53.0</v>
      </c>
      <c r="I69" s="9">
        <v>123.0</v>
      </c>
    </row>
    <row r="70" ht="15.75" customHeight="1">
      <c r="A70" s="4" t="s">
        <v>76</v>
      </c>
      <c r="B70" s="9">
        <v>424.0</v>
      </c>
      <c r="C70" s="9">
        <v>98.0</v>
      </c>
      <c r="D70" s="9">
        <v>-117.0</v>
      </c>
      <c r="E70" s="9">
        <v>-99.0</v>
      </c>
      <c r="F70" s="9">
        <v>233.0</v>
      </c>
      <c r="G70" s="9">
        <v>23.0</v>
      </c>
      <c r="H70" s="9">
        <v>-138.0</v>
      </c>
      <c r="I70" s="9">
        <v>-26.0</v>
      </c>
    </row>
    <row r="71" ht="15.75" customHeight="1">
      <c r="A71" s="4" t="s">
        <v>77</v>
      </c>
      <c r="B71" s="9"/>
      <c r="C71" s="9"/>
      <c r="D71" s="9"/>
      <c r="E71" s="9"/>
      <c r="F71" s="9"/>
      <c r="G71" s="9"/>
      <c r="H71" s="9"/>
      <c r="I71" s="9"/>
    </row>
    <row r="72" ht="15.75" customHeight="1">
      <c r="A72" s="4" t="s">
        <v>78</v>
      </c>
      <c r="B72" s="9">
        <v>-216.0</v>
      </c>
      <c r="C72" s="9">
        <v>60.0</v>
      </c>
      <c r="D72" s="9">
        <v>-426.0</v>
      </c>
      <c r="E72" s="9">
        <v>187.0</v>
      </c>
      <c r="F72" s="9">
        <v>-270.0</v>
      </c>
      <c r="G72" s="9">
        <v>1239.0</v>
      </c>
      <c r="H72" s="9">
        <v>-1606.0</v>
      </c>
      <c r="I72" s="9">
        <v>-504.0</v>
      </c>
    </row>
    <row r="73" ht="15.75" customHeight="1">
      <c r="A73" s="4" t="s">
        <v>79</v>
      </c>
      <c r="B73" s="9">
        <v>-621.0</v>
      </c>
      <c r="C73" s="9">
        <v>-590.0</v>
      </c>
      <c r="D73" s="9">
        <v>-231.0</v>
      </c>
      <c r="E73" s="9">
        <v>-255.0</v>
      </c>
      <c r="F73" s="9">
        <v>-490.0</v>
      </c>
      <c r="G73" s="9">
        <v>-1854.0</v>
      </c>
      <c r="H73" s="9">
        <v>507.0</v>
      </c>
      <c r="I73" s="9">
        <v>-1676.0</v>
      </c>
    </row>
    <row r="74" ht="15.75" customHeight="1">
      <c r="A74" s="4" t="s">
        <v>80</v>
      </c>
      <c r="B74" s="9">
        <v>-144.0</v>
      </c>
      <c r="C74" s="9">
        <v>-161.0</v>
      </c>
      <c r="D74" s="9">
        <v>-120.0</v>
      </c>
      <c r="E74" s="9">
        <v>35.0</v>
      </c>
      <c r="F74" s="9">
        <v>-203.0</v>
      </c>
      <c r="G74" s="9">
        <v>-654.0</v>
      </c>
      <c r="H74" s="9">
        <v>-182.0</v>
      </c>
      <c r="I74" s="9">
        <v>-845.0</v>
      </c>
    </row>
    <row r="75" ht="15.75" customHeight="1">
      <c r="A75" s="4" t="s">
        <v>81</v>
      </c>
      <c r="B75" s="9">
        <v>1237.0</v>
      </c>
      <c r="C75" s="9">
        <v>-586.0</v>
      </c>
      <c r="D75" s="9">
        <v>-158.0</v>
      </c>
      <c r="E75" s="9">
        <v>1515.0</v>
      </c>
      <c r="F75" s="9">
        <v>1525.0</v>
      </c>
      <c r="G75" s="9">
        <v>24.0</v>
      </c>
      <c r="H75" s="9">
        <v>1326.0</v>
      </c>
      <c r="I75" s="9">
        <v>1365.0</v>
      </c>
    </row>
    <row r="76" ht="15.75" customHeight="1">
      <c r="A76" s="26" t="s">
        <v>82</v>
      </c>
      <c r="B76" s="27">
        <f t="shared" ref="B76:I76" si="14">+SUM(B64:B75)</f>
        <v>4608</v>
      </c>
      <c r="C76" s="27">
        <f t="shared" si="14"/>
        <v>3399</v>
      </c>
      <c r="D76" s="27">
        <f t="shared" si="14"/>
        <v>3846</v>
      </c>
      <c r="E76" s="27">
        <f t="shared" si="14"/>
        <v>4955</v>
      </c>
      <c r="F76" s="27">
        <f t="shared" si="14"/>
        <v>5903</v>
      </c>
      <c r="G76" s="27">
        <f t="shared" si="14"/>
        <v>2485</v>
      </c>
      <c r="H76" s="27">
        <f t="shared" si="14"/>
        <v>6657</v>
      </c>
      <c r="I76" s="27">
        <f t="shared" si="14"/>
        <v>5188</v>
      </c>
    </row>
    <row r="77" ht="15.75" customHeight="1">
      <c r="A77" s="3" t="s">
        <v>83</v>
      </c>
      <c r="B77" s="9"/>
      <c r="C77" s="9"/>
      <c r="D77" s="9"/>
      <c r="E77" s="9"/>
      <c r="F77" s="9"/>
      <c r="G77" s="9"/>
      <c r="H77" s="9"/>
      <c r="I77" s="9"/>
    </row>
    <row r="78" ht="15.75" customHeight="1">
      <c r="A78" s="4" t="s">
        <v>84</v>
      </c>
      <c r="B78" s="9">
        <v>-4936.0</v>
      </c>
      <c r="C78" s="9">
        <v>-5367.0</v>
      </c>
      <c r="D78" s="9">
        <v>-5928.0</v>
      </c>
      <c r="E78" s="9">
        <v>-4783.0</v>
      </c>
      <c r="F78" s="9">
        <v>-2937.0</v>
      </c>
      <c r="G78" s="9">
        <v>-2426.0</v>
      </c>
      <c r="H78" s="9">
        <v>-9961.0</v>
      </c>
      <c r="I78" s="9">
        <v>-12913.0</v>
      </c>
    </row>
    <row r="79" ht="15.75" customHeight="1">
      <c r="A79" s="4" t="s">
        <v>85</v>
      </c>
      <c r="B79" s="9">
        <v>3655.0</v>
      </c>
      <c r="C79" s="9">
        <v>2924.0</v>
      </c>
      <c r="D79" s="9">
        <v>3623.0</v>
      </c>
      <c r="E79" s="9">
        <v>3613.0</v>
      </c>
      <c r="F79" s="9">
        <v>1715.0</v>
      </c>
      <c r="G79" s="9">
        <v>74.0</v>
      </c>
      <c r="H79" s="9">
        <v>4236.0</v>
      </c>
      <c r="I79" s="9">
        <v>8199.0</v>
      </c>
    </row>
    <row r="80" ht="15.75" customHeight="1">
      <c r="A80" s="4" t="s">
        <v>86</v>
      </c>
      <c r="B80" s="9">
        <v>2216.0</v>
      </c>
      <c r="C80" s="9">
        <v>2386.0</v>
      </c>
      <c r="D80" s="9">
        <v>2423.0</v>
      </c>
      <c r="E80" s="9">
        <v>2496.0</v>
      </c>
      <c r="F80" s="9">
        <v>2072.0</v>
      </c>
      <c r="G80" s="9">
        <v>2379.0</v>
      </c>
      <c r="H80" s="9">
        <v>2449.0</v>
      </c>
      <c r="I80" s="9">
        <v>3967.0</v>
      </c>
    </row>
    <row r="81" ht="15.75" customHeight="1">
      <c r="A81" s="6" t="s">
        <v>87</v>
      </c>
      <c r="B81" s="9">
        <v>-150.0</v>
      </c>
      <c r="C81" s="9">
        <v>150.0</v>
      </c>
      <c r="D81" s="9"/>
      <c r="E81" s="9"/>
      <c r="F81" s="9"/>
      <c r="G81" s="9"/>
      <c r="H81" s="9"/>
      <c r="I81" s="9"/>
    </row>
    <row r="82" ht="15.75" customHeight="1">
      <c r="A82" s="4" t="s">
        <v>88</v>
      </c>
      <c r="B82" s="9">
        <v>-963.0</v>
      </c>
      <c r="C82" s="9">
        <v>-1143.0</v>
      </c>
      <c r="D82" s="9">
        <v>-1105.0</v>
      </c>
      <c r="E82" s="9">
        <v>-1028.0</v>
      </c>
      <c r="F82" s="9">
        <v>-1119.0</v>
      </c>
      <c r="G82" s="9">
        <v>-1086.0</v>
      </c>
      <c r="H82" s="9">
        <v>-695.0</v>
      </c>
      <c r="I82" s="9">
        <v>-758.0</v>
      </c>
    </row>
    <row r="83" ht="15.75" customHeight="1">
      <c r="A83" s="6" t="s">
        <v>89</v>
      </c>
      <c r="B83" s="9">
        <v>3.0</v>
      </c>
      <c r="C83" s="9">
        <v>10.0</v>
      </c>
      <c r="D83" s="9">
        <v>13.0</v>
      </c>
      <c r="E83" s="9">
        <v>3.0</v>
      </c>
      <c r="F83" s="9"/>
      <c r="G83" s="9"/>
      <c r="H83" s="9"/>
      <c r="I83" s="9"/>
    </row>
    <row r="84" ht="15.75" customHeight="1">
      <c r="A84" s="4" t="s">
        <v>90</v>
      </c>
      <c r="B84" s="9">
        <v>72.0</v>
      </c>
      <c r="C84" s="9">
        <v>6.0</v>
      </c>
      <c r="D84" s="9">
        <v>-34.0</v>
      </c>
      <c r="E84" s="9">
        <v>-25.0</v>
      </c>
      <c r="F84" s="9">
        <v>5.0</v>
      </c>
      <c r="G84" s="9">
        <v>31.0</v>
      </c>
      <c r="H84" s="9">
        <v>171.0</v>
      </c>
      <c r="I84" s="9">
        <v>-19.0</v>
      </c>
    </row>
    <row r="85" ht="15.75" customHeight="1">
      <c r="A85" s="28" t="s">
        <v>91</v>
      </c>
      <c r="B85" s="27">
        <f t="shared" ref="B85:I85" si="15">+SUM(B78:B84)</f>
        <v>-103</v>
      </c>
      <c r="C85" s="27">
        <f t="shared" si="15"/>
        <v>-1034</v>
      </c>
      <c r="D85" s="27">
        <f t="shared" si="15"/>
        <v>-1008</v>
      </c>
      <c r="E85" s="27">
        <f t="shared" si="15"/>
        <v>276</v>
      </c>
      <c r="F85" s="27">
        <f t="shared" si="15"/>
        <v>-264</v>
      </c>
      <c r="G85" s="27">
        <f t="shared" si="15"/>
        <v>-1028</v>
      </c>
      <c r="H85" s="27">
        <f t="shared" si="15"/>
        <v>-3800</v>
      </c>
      <c r="I85" s="27">
        <f t="shared" si="15"/>
        <v>-1524</v>
      </c>
    </row>
    <row r="86" ht="15.75" customHeight="1">
      <c r="A86" s="3" t="s">
        <v>92</v>
      </c>
      <c r="B86" s="9"/>
      <c r="C86" s="9"/>
      <c r="D86" s="9"/>
      <c r="E86" s="9"/>
      <c r="F86" s="9"/>
      <c r="G86" s="9"/>
      <c r="H86" s="9"/>
      <c r="I86" s="9"/>
    </row>
    <row r="87" ht="15.75" customHeight="1">
      <c r="A87" s="4" t="s">
        <v>93</v>
      </c>
      <c r="C87" s="9">
        <v>981.0</v>
      </c>
      <c r="D87" s="9">
        <v>1482.0</v>
      </c>
      <c r="E87" s="9"/>
      <c r="F87" s="9"/>
      <c r="G87" s="9">
        <v>6134.0</v>
      </c>
      <c r="H87" s="9">
        <v>0.0</v>
      </c>
      <c r="I87" s="9">
        <v>0.0</v>
      </c>
      <c r="K87" s="2" t="s">
        <v>94</v>
      </c>
    </row>
    <row r="88" ht="15.75" customHeight="1">
      <c r="A88" s="6" t="s">
        <v>95</v>
      </c>
      <c r="B88" s="9">
        <v>-7.0</v>
      </c>
      <c r="C88" s="9">
        <v>-106.0</v>
      </c>
      <c r="D88" s="9">
        <v>-44.0</v>
      </c>
      <c r="E88" s="9">
        <v>-6.0</v>
      </c>
      <c r="F88" s="9"/>
      <c r="G88" s="9"/>
      <c r="H88" s="9"/>
      <c r="I88" s="9"/>
    </row>
    <row r="89" ht="15.75" customHeight="1">
      <c r="A89" s="4" t="s">
        <v>96</v>
      </c>
      <c r="B89" s="9">
        <v>-63.0</v>
      </c>
      <c r="C89" s="9">
        <v>-67.0</v>
      </c>
      <c r="D89" s="9">
        <v>327.0</v>
      </c>
      <c r="E89" s="9">
        <v>13.0</v>
      </c>
      <c r="F89" s="9">
        <v>-325.0</v>
      </c>
      <c r="G89" s="9">
        <v>49.0</v>
      </c>
      <c r="H89" s="9">
        <v>-52.0</v>
      </c>
      <c r="I89" s="9">
        <v>15.0</v>
      </c>
    </row>
    <row r="90" ht="15.75" customHeight="1">
      <c r="A90" s="4" t="s">
        <v>97</v>
      </c>
      <c r="B90" s="9">
        <v>-19.0</v>
      </c>
      <c r="C90" s="9">
        <v>-7.0</v>
      </c>
      <c r="D90" s="9">
        <v>-17.0</v>
      </c>
      <c r="E90" s="9">
        <v>-23.0</v>
      </c>
      <c r="F90" s="9"/>
      <c r="H90" s="9">
        <v>-197.0</v>
      </c>
      <c r="I90" s="9">
        <v>0.0</v>
      </c>
    </row>
    <row r="91" ht="15.75" customHeight="1">
      <c r="A91" s="4" t="s">
        <v>98</v>
      </c>
      <c r="B91" s="9">
        <v>514.0</v>
      </c>
      <c r="C91" s="9">
        <v>507.0</v>
      </c>
      <c r="D91" s="9">
        <v>489.0</v>
      </c>
      <c r="E91" s="9">
        <v>733.0</v>
      </c>
      <c r="F91" s="9">
        <v>700.0</v>
      </c>
      <c r="G91" s="9">
        <v>885.0</v>
      </c>
      <c r="H91" s="9">
        <v>1172.0</v>
      </c>
      <c r="I91" s="9">
        <v>1151.0</v>
      </c>
      <c r="K91" s="2">
        <v>383.0</v>
      </c>
    </row>
    <row r="92" ht="15.75" customHeight="1">
      <c r="A92" s="4" t="s">
        <v>99</v>
      </c>
      <c r="B92" s="9">
        <v>218.0</v>
      </c>
      <c r="C92" s="9">
        <v>-3238.0</v>
      </c>
      <c r="D92" s="9">
        <v>-3223.0</v>
      </c>
      <c r="E92" s="9">
        <v>-4254.0</v>
      </c>
      <c r="F92" s="9">
        <v>-4286.0</v>
      </c>
      <c r="G92" s="9">
        <v>-3067.0</v>
      </c>
      <c r="H92" s="9">
        <v>-608.0</v>
      </c>
      <c r="I92" s="9">
        <v>-4014.0</v>
      </c>
    </row>
    <row r="93" ht="15.75" customHeight="1">
      <c r="A93" s="4" t="s">
        <v>100</v>
      </c>
      <c r="B93" s="9">
        <v>-2534.0</v>
      </c>
      <c r="C93" s="9">
        <v>-1022.0</v>
      </c>
      <c r="D93" s="9">
        <v>-1133.0</v>
      </c>
      <c r="E93" s="9">
        <v>-1243.0</v>
      </c>
      <c r="F93" s="9">
        <v>-1332.0</v>
      </c>
      <c r="G93" s="9">
        <v>-1452.0</v>
      </c>
      <c r="H93" s="9">
        <v>-1638.0</v>
      </c>
      <c r="I93" s="9">
        <v>-1837.0</v>
      </c>
      <c r="K93" s="9">
        <v>-799.0</v>
      </c>
    </row>
    <row r="94" ht="15.75" customHeight="1">
      <c r="A94" s="4" t="s">
        <v>101</v>
      </c>
      <c r="B94" s="9">
        <v>-899.0</v>
      </c>
      <c r="C94" s="9">
        <v>-22.0</v>
      </c>
      <c r="D94" s="9">
        <v>-29.0</v>
      </c>
      <c r="E94" s="9">
        <v>-55.0</v>
      </c>
      <c r="F94" s="9">
        <v>-50.0</v>
      </c>
      <c r="G94" s="9">
        <v>-58.0</v>
      </c>
      <c r="H94" s="9">
        <v>-136.0</v>
      </c>
      <c r="I94" s="9">
        <v>-151.0</v>
      </c>
    </row>
    <row r="95" ht="15.75" customHeight="1">
      <c r="A95" s="28" t="s">
        <v>102</v>
      </c>
      <c r="B95" s="27">
        <f t="shared" ref="B95:I95" si="16">+SUM(B87:B94)</f>
        <v>-2790</v>
      </c>
      <c r="C95" s="27">
        <f t="shared" si="16"/>
        <v>-2974</v>
      </c>
      <c r="D95" s="27">
        <f t="shared" si="16"/>
        <v>-2148</v>
      </c>
      <c r="E95" s="27">
        <f t="shared" si="16"/>
        <v>-4835</v>
      </c>
      <c r="F95" s="27">
        <f t="shared" si="16"/>
        <v>-5293</v>
      </c>
      <c r="G95" s="27">
        <f t="shared" si="16"/>
        <v>2491</v>
      </c>
      <c r="H95" s="27">
        <f t="shared" si="16"/>
        <v>-1459</v>
      </c>
      <c r="I95" s="27">
        <f t="shared" si="16"/>
        <v>-4836</v>
      </c>
    </row>
    <row r="96" ht="15.75" customHeight="1">
      <c r="A96" s="4" t="s">
        <v>103</v>
      </c>
      <c r="B96" s="9">
        <v>-83.0</v>
      </c>
      <c r="C96" s="9">
        <v>-105.0</v>
      </c>
      <c r="D96" s="9">
        <v>-20.0</v>
      </c>
      <c r="E96" s="9">
        <v>45.0</v>
      </c>
      <c r="F96" s="9">
        <v>-129.0</v>
      </c>
      <c r="G96" s="9">
        <v>-66.0</v>
      </c>
      <c r="H96" s="9">
        <v>143.0</v>
      </c>
      <c r="I96" s="9">
        <v>-143.0</v>
      </c>
    </row>
    <row r="97" ht="15.75" customHeight="1">
      <c r="A97" s="28" t="s">
        <v>104</v>
      </c>
      <c r="B97" s="27">
        <f t="shared" ref="B97:I97" si="17">+B76+B85+B95+B96</f>
        <v>1632</v>
      </c>
      <c r="C97" s="27">
        <f t="shared" si="17"/>
        <v>-714</v>
      </c>
      <c r="D97" s="27">
        <f t="shared" si="17"/>
        <v>670</v>
      </c>
      <c r="E97" s="27">
        <f t="shared" si="17"/>
        <v>441</v>
      </c>
      <c r="F97" s="27">
        <f t="shared" si="17"/>
        <v>217</v>
      </c>
      <c r="G97" s="27">
        <f t="shared" si="17"/>
        <v>3882</v>
      </c>
      <c r="H97" s="27">
        <f t="shared" si="17"/>
        <v>1541</v>
      </c>
      <c r="I97" s="27">
        <f t="shared" si="17"/>
        <v>-1315</v>
      </c>
    </row>
    <row r="98" ht="15.75" customHeight="1">
      <c r="A98" s="2" t="s">
        <v>105</v>
      </c>
      <c r="B98" s="9">
        <v>2220.0</v>
      </c>
      <c r="C98" s="9">
        <v>3852.0</v>
      </c>
      <c r="D98" s="9">
        <v>3138.0</v>
      </c>
      <c r="E98" s="9">
        <v>3808.0</v>
      </c>
      <c r="F98" s="9">
        <v>4249.0</v>
      </c>
      <c r="G98" s="9">
        <v>4466.0</v>
      </c>
      <c r="H98" s="9">
        <v>8348.0</v>
      </c>
      <c r="I98" s="9">
        <f>+H99</f>
        <v>9889</v>
      </c>
    </row>
    <row r="99" ht="15.75" customHeight="1">
      <c r="A99" s="17" t="s">
        <v>106</v>
      </c>
      <c r="B99" s="18">
        <v>3852.0</v>
      </c>
      <c r="C99" s="18">
        <v>3138.0</v>
      </c>
      <c r="D99" s="18">
        <v>3808.0</v>
      </c>
      <c r="E99" s="18">
        <f t="shared" ref="E99:I99" si="18">+E97+E98</f>
        <v>4249</v>
      </c>
      <c r="F99" s="18">
        <f t="shared" si="18"/>
        <v>4466</v>
      </c>
      <c r="G99" s="18">
        <f t="shared" si="18"/>
        <v>8348</v>
      </c>
      <c r="H99" s="18">
        <f t="shared" si="18"/>
        <v>9889</v>
      </c>
      <c r="I99" s="18">
        <f t="shared" si="18"/>
        <v>8574</v>
      </c>
    </row>
    <row r="100" ht="15.75" customHeight="1">
      <c r="A100" s="20" t="s">
        <v>107</v>
      </c>
      <c r="B100" s="21">
        <f t="shared" ref="B100:I100" si="19">+B99-B25</f>
        <v>0</v>
      </c>
      <c r="C100" s="21">
        <f t="shared" si="19"/>
        <v>0</v>
      </c>
      <c r="D100" s="21">
        <f t="shared" si="19"/>
        <v>0</v>
      </c>
      <c r="E100" s="21">
        <f t="shared" si="19"/>
        <v>0</v>
      </c>
      <c r="F100" s="21">
        <f t="shared" si="19"/>
        <v>0</v>
      </c>
      <c r="G100" s="21">
        <f t="shared" si="19"/>
        <v>0</v>
      </c>
      <c r="H100" s="21">
        <f t="shared" si="19"/>
        <v>0</v>
      </c>
      <c r="I100" s="21">
        <f t="shared" si="19"/>
        <v>0</v>
      </c>
    </row>
    <row r="101" ht="15.75" customHeight="1">
      <c r="A101" s="20" t="s">
        <v>108</v>
      </c>
      <c r="B101" s="9"/>
      <c r="C101" s="9"/>
      <c r="D101" s="9"/>
      <c r="E101" s="9"/>
      <c r="F101" s="9"/>
      <c r="G101" s="9"/>
      <c r="H101" s="9"/>
      <c r="I101" s="9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ht="15.75" customHeight="1">
      <c r="A102" s="4" t="s">
        <v>109</v>
      </c>
      <c r="B102" s="9"/>
      <c r="C102" s="9"/>
      <c r="D102" s="9"/>
      <c r="E102" s="9"/>
      <c r="F102" s="9"/>
      <c r="G102" s="9"/>
      <c r="H102" s="9"/>
      <c r="I102" s="9"/>
    </row>
    <row r="103" ht="15.75" customHeight="1">
      <c r="A103" s="4" t="s">
        <v>110</v>
      </c>
      <c r="B103" s="9">
        <v>53.0</v>
      </c>
      <c r="C103" s="9">
        <v>70.0</v>
      </c>
      <c r="D103" s="9">
        <v>98.0</v>
      </c>
      <c r="E103" s="9">
        <v>125.0</v>
      </c>
      <c r="F103" s="9">
        <v>153.0</v>
      </c>
      <c r="G103" s="9">
        <v>140.0</v>
      </c>
      <c r="H103" s="9">
        <v>293.0</v>
      </c>
      <c r="I103" s="9">
        <v>290.0</v>
      </c>
    </row>
    <row r="104" ht="15.75" customHeight="1">
      <c r="A104" s="4" t="s">
        <v>111</v>
      </c>
      <c r="B104" s="9">
        <v>1262.0</v>
      </c>
      <c r="C104" s="9">
        <v>748.0</v>
      </c>
      <c r="D104" s="9">
        <v>703.0</v>
      </c>
      <c r="E104" s="9">
        <v>529.0</v>
      </c>
      <c r="F104" s="9">
        <v>757.0</v>
      </c>
      <c r="G104" s="9">
        <v>1028.0</v>
      </c>
      <c r="H104" s="9">
        <v>1177.0</v>
      </c>
      <c r="I104" s="9">
        <v>1231.0</v>
      </c>
    </row>
    <row r="105" ht="15.75" customHeight="1">
      <c r="A105" s="4" t="s">
        <v>112</v>
      </c>
      <c r="B105" s="9">
        <v>206.0</v>
      </c>
      <c r="C105" s="9">
        <v>252.0</v>
      </c>
      <c r="D105" s="9">
        <v>266.0</v>
      </c>
      <c r="E105" s="9">
        <v>294.0</v>
      </c>
      <c r="F105" s="9">
        <v>160.0</v>
      </c>
      <c r="G105" s="9">
        <v>121.0</v>
      </c>
      <c r="H105" s="9">
        <v>179.0</v>
      </c>
      <c r="I105" s="9">
        <v>160.0</v>
      </c>
    </row>
    <row r="106" ht="15.75" customHeight="1">
      <c r="A106" s="4" t="s">
        <v>113</v>
      </c>
      <c r="B106" s="9">
        <v>240.0</v>
      </c>
      <c r="C106" s="9">
        <v>271.0</v>
      </c>
      <c r="D106" s="9">
        <v>300.0</v>
      </c>
      <c r="E106" s="9">
        <v>320.0</v>
      </c>
      <c r="F106" s="9">
        <v>347.0</v>
      </c>
      <c r="G106" s="9">
        <v>385.0</v>
      </c>
      <c r="H106" s="9">
        <v>438.0</v>
      </c>
      <c r="I106" s="9">
        <v>480.0</v>
      </c>
    </row>
    <row r="107" ht="15.75" customHeight="1"/>
    <row r="108" ht="15.75" customHeight="1">
      <c r="A108" s="22" t="s">
        <v>114</v>
      </c>
      <c r="B108" s="22"/>
      <c r="C108" s="22"/>
      <c r="D108" s="22"/>
      <c r="E108" s="22"/>
      <c r="F108" s="22"/>
      <c r="G108" s="22"/>
      <c r="H108" s="22"/>
      <c r="I108" s="22"/>
    </row>
    <row r="109" ht="15.75" customHeight="1">
      <c r="A109" s="24" t="s">
        <v>115</v>
      </c>
      <c r="B109" s="9"/>
      <c r="C109" s="9"/>
      <c r="D109" s="9"/>
      <c r="E109" s="9"/>
      <c r="F109" s="9"/>
      <c r="G109" s="9"/>
      <c r="H109" s="9"/>
      <c r="I109" s="9"/>
    </row>
    <row r="110" ht="15.75" customHeight="1">
      <c r="A110" s="4" t="s">
        <v>116</v>
      </c>
      <c r="B110" s="12">
        <f t="shared" ref="B110:I110" si="20">+SUM(B111:B113)</f>
        <v>13740</v>
      </c>
      <c r="C110" s="12">
        <f t="shared" si="20"/>
        <v>14764</v>
      </c>
      <c r="D110" s="12">
        <f t="shared" si="20"/>
        <v>15216</v>
      </c>
      <c r="E110" s="12">
        <f t="shared" si="20"/>
        <v>14855</v>
      </c>
      <c r="F110" s="12">
        <f t="shared" si="20"/>
        <v>15902</v>
      </c>
      <c r="G110" s="12">
        <f t="shared" si="20"/>
        <v>14484</v>
      </c>
      <c r="H110" s="12">
        <f t="shared" si="20"/>
        <v>17179</v>
      </c>
      <c r="I110" s="12">
        <f t="shared" si="20"/>
        <v>18353</v>
      </c>
    </row>
    <row r="111" ht="15.75" customHeight="1">
      <c r="A111" s="4" t="s">
        <v>117</v>
      </c>
      <c r="B111" s="2">
        <v>8506.0</v>
      </c>
      <c r="C111" s="2">
        <v>9299.0</v>
      </c>
      <c r="D111" s="2">
        <v>9684.0</v>
      </c>
      <c r="E111" s="2">
        <v>9322.0</v>
      </c>
      <c r="F111" s="2">
        <v>10045.0</v>
      </c>
      <c r="G111" s="2">
        <v>9329.0</v>
      </c>
      <c r="H111" s="19">
        <v>11644.0</v>
      </c>
      <c r="I111" s="19">
        <v>12228.0</v>
      </c>
    </row>
    <row r="112" ht="15.75" customHeight="1">
      <c r="A112" s="4" t="s">
        <v>118</v>
      </c>
      <c r="B112" s="2">
        <v>4410.0</v>
      </c>
      <c r="C112" s="2">
        <v>4746.0</v>
      </c>
      <c r="D112" s="2">
        <v>4886.0</v>
      </c>
      <c r="E112" s="2">
        <v>4938.0</v>
      </c>
      <c r="F112" s="2">
        <v>5260.0</v>
      </c>
      <c r="G112" s="2">
        <v>4639.0</v>
      </c>
      <c r="H112" s="19">
        <v>5028.0</v>
      </c>
      <c r="I112" s="19">
        <v>5492.0</v>
      </c>
    </row>
    <row r="113" ht="15.75" customHeight="1">
      <c r="A113" s="4" t="s">
        <v>119</v>
      </c>
      <c r="B113" s="2">
        <v>824.0</v>
      </c>
      <c r="C113" s="2">
        <v>719.0</v>
      </c>
      <c r="D113" s="2">
        <v>646.0</v>
      </c>
      <c r="E113" s="9">
        <v>595.0</v>
      </c>
      <c r="F113" s="9">
        <v>597.0</v>
      </c>
      <c r="G113" s="9">
        <v>516.0</v>
      </c>
      <c r="H113" s="2">
        <v>507.0</v>
      </c>
      <c r="I113" s="2">
        <v>633.0</v>
      </c>
    </row>
    <row r="114" ht="15.75" customHeight="1">
      <c r="A114" s="4" t="s">
        <v>120</v>
      </c>
      <c r="B114" s="12">
        <f t="shared" ref="B114:I114" si="21">+SUM(B115:B117)</f>
        <v>7126</v>
      </c>
      <c r="C114" s="12">
        <f t="shared" si="21"/>
        <v>7568</v>
      </c>
      <c r="D114" s="12">
        <f t="shared" si="21"/>
        <v>7970</v>
      </c>
      <c r="E114" s="12">
        <f t="shared" si="21"/>
        <v>9242</v>
      </c>
      <c r="F114" s="12">
        <f t="shared" si="21"/>
        <v>9812</v>
      </c>
      <c r="G114" s="12">
        <f t="shared" si="21"/>
        <v>9347</v>
      </c>
      <c r="H114" s="12">
        <f t="shared" si="21"/>
        <v>11456</v>
      </c>
      <c r="I114" s="12">
        <f t="shared" si="21"/>
        <v>12479</v>
      </c>
    </row>
    <row r="115" ht="15.75" customHeight="1">
      <c r="A115" s="4" t="s">
        <v>117</v>
      </c>
      <c r="B115" s="2">
        <v>4703.0</v>
      </c>
      <c r="C115" s="2">
        <v>5043.0</v>
      </c>
      <c r="D115" s="2">
        <v>5192.0</v>
      </c>
      <c r="E115" s="2">
        <v>5875.0</v>
      </c>
      <c r="F115" s="2">
        <v>6293.0</v>
      </c>
      <c r="G115" s="2">
        <v>5892.0</v>
      </c>
      <c r="H115" s="19">
        <v>6970.0</v>
      </c>
      <c r="I115" s="19">
        <v>7388.0</v>
      </c>
    </row>
    <row r="116" ht="15.75" customHeight="1">
      <c r="A116" s="4" t="s">
        <v>118</v>
      </c>
      <c r="B116" s="2">
        <v>2050.0</v>
      </c>
      <c r="C116" s="2">
        <v>2149.0</v>
      </c>
      <c r="D116" s="2">
        <v>2395.0</v>
      </c>
      <c r="E116" s="2">
        <v>2940.0</v>
      </c>
      <c r="F116" s="2">
        <v>3087.0</v>
      </c>
      <c r="G116" s="2">
        <v>3053.0</v>
      </c>
      <c r="H116" s="19">
        <v>3996.0</v>
      </c>
      <c r="I116" s="19">
        <v>4527.0</v>
      </c>
    </row>
    <row r="117" ht="15.75" customHeight="1">
      <c r="A117" s="4" t="s">
        <v>119</v>
      </c>
      <c r="B117" s="2">
        <v>373.0</v>
      </c>
      <c r="C117" s="2">
        <v>376.0</v>
      </c>
      <c r="D117" s="2">
        <v>383.0</v>
      </c>
      <c r="E117" s="2">
        <v>427.0</v>
      </c>
      <c r="F117" s="2">
        <v>432.0</v>
      </c>
      <c r="G117" s="2">
        <v>402.0</v>
      </c>
      <c r="H117" s="2">
        <v>490.0</v>
      </c>
      <c r="I117" s="2">
        <v>564.0</v>
      </c>
    </row>
    <row r="118" ht="15.75" customHeight="1">
      <c r="A118" s="4" t="s">
        <v>121</v>
      </c>
      <c r="B118" s="12">
        <f t="shared" ref="B118:I118" si="22">+SUM(B119:B121)</f>
        <v>3067</v>
      </c>
      <c r="C118" s="12">
        <f t="shared" si="22"/>
        <v>3785</v>
      </c>
      <c r="D118" s="12">
        <f t="shared" si="22"/>
        <v>4237</v>
      </c>
      <c r="E118" s="12">
        <f t="shared" si="22"/>
        <v>5134</v>
      </c>
      <c r="F118" s="12">
        <f t="shared" si="22"/>
        <v>6208</v>
      </c>
      <c r="G118" s="12">
        <f t="shared" si="22"/>
        <v>6679</v>
      </c>
      <c r="H118" s="12">
        <f t="shared" si="22"/>
        <v>8290</v>
      </c>
      <c r="I118" s="12">
        <f t="shared" si="22"/>
        <v>7547</v>
      </c>
    </row>
    <row r="119" ht="15.75" customHeight="1">
      <c r="A119" s="4" t="s">
        <v>117</v>
      </c>
      <c r="B119" s="2">
        <v>2016.0</v>
      </c>
      <c r="C119" s="2">
        <v>2599.0</v>
      </c>
      <c r="D119" s="2">
        <v>2920.0</v>
      </c>
      <c r="E119" s="6">
        <v>3496.0</v>
      </c>
      <c r="F119" s="6">
        <v>4262.0</v>
      </c>
      <c r="G119" s="6">
        <v>4635.0</v>
      </c>
      <c r="H119" s="19">
        <v>5748.0</v>
      </c>
      <c r="I119" s="19">
        <v>5416.0</v>
      </c>
    </row>
    <row r="120" ht="15.75" customHeight="1">
      <c r="A120" s="4" t="s">
        <v>118</v>
      </c>
      <c r="B120" s="2">
        <v>925.0</v>
      </c>
      <c r="C120" s="2">
        <v>1055.0</v>
      </c>
      <c r="D120" s="2">
        <v>1188.0</v>
      </c>
      <c r="E120" s="6">
        <v>1508.0</v>
      </c>
      <c r="F120" s="6">
        <v>1808.0</v>
      </c>
      <c r="G120" s="2">
        <v>1896.0</v>
      </c>
      <c r="H120" s="19">
        <v>2347.0</v>
      </c>
      <c r="I120" s="19">
        <v>1938.0</v>
      </c>
    </row>
    <row r="121" ht="15.75" customHeight="1">
      <c r="A121" s="4" t="s">
        <v>119</v>
      </c>
      <c r="B121" s="2">
        <v>126.0</v>
      </c>
      <c r="C121" s="2">
        <v>131.0</v>
      </c>
      <c r="D121" s="2">
        <v>129.0</v>
      </c>
      <c r="E121" s="6">
        <v>130.0</v>
      </c>
      <c r="F121" s="6">
        <v>138.0</v>
      </c>
      <c r="G121" s="2">
        <v>148.0</v>
      </c>
      <c r="H121" s="2">
        <v>195.0</v>
      </c>
      <c r="I121" s="2">
        <v>193.0</v>
      </c>
    </row>
    <row r="122" ht="15.75" customHeight="1">
      <c r="A122" s="4" t="s">
        <v>122</v>
      </c>
      <c r="B122" s="12">
        <f t="shared" ref="B122:I122" si="23">+SUM(B123:B125)</f>
        <v>4653</v>
      </c>
      <c r="C122" s="12">
        <f t="shared" si="23"/>
        <v>4317</v>
      </c>
      <c r="D122" s="12">
        <f t="shared" si="23"/>
        <v>4737</v>
      </c>
      <c r="E122" s="12">
        <f t="shared" si="23"/>
        <v>5166</v>
      </c>
      <c r="F122" s="12">
        <f t="shared" si="23"/>
        <v>5254</v>
      </c>
      <c r="G122" s="12">
        <f t="shared" si="23"/>
        <v>5028</v>
      </c>
      <c r="H122" s="12">
        <f t="shared" si="23"/>
        <v>5343</v>
      </c>
      <c r="I122" s="12">
        <f t="shared" si="23"/>
        <v>5955</v>
      </c>
    </row>
    <row r="123" ht="15.75" customHeight="1">
      <c r="A123" s="4" t="s">
        <v>117</v>
      </c>
      <c r="B123" s="2">
        <v>3093.0</v>
      </c>
      <c r="C123" s="2">
        <v>2930.0</v>
      </c>
      <c r="D123" s="2">
        <v>3285.0</v>
      </c>
      <c r="E123" s="2">
        <v>3575.0</v>
      </c>
      <c r="F123" s="2">
        <v>3622.0</v>
      </c>
      <c r="G123" s="2">
        <v>3449.0</v>
      </c>
      <c r="H123" s="19">
        <v>3659.0</v>
      </c>
      <c r="I123" s="19">
        <v>4111.0</v>
      </c>
    </row>
    <row r="124" ht="15.75" customHeight="1">
      <c r="A124" s="4" t="s">
        <v>118</v>
      </c>
      <c r="B124" s="2">
        <v>1251.0</v>
      </c>
      <c r="C124" s="2">
        <v>1117.0</v>
      </c>
      <c r="D124" s="2">
        <v>1185.0</v>
      </c>
      <c r="E124" s="2">
        <v>1347.0</v>
      </c>
      <c r="F124" s="2">
        <v>1395.0</v>
      </c>
      <c r="G124" s="2">
        <v>1365.0</v>
      </c>
      <c r="H124" s="19">
        <v>1494.0</v>
      </c>
      <c r="I124" s="19">
        <v>1610.0</v>
      </c>
    </row>
    <row r="125" ht="15.75" customHeight="1">
      <c r="A125" s="4" t="s">
        <v>119</v>
      </c>
      <c r="B125" s="2">
        <v>309.0</v>
      </c>
      <c r="C125" s="2">
        <v>270.0</v>
      </c>
      <c r="D125" s="2">
        <v>267.0</v>
      </c>
      <c r="E125" s="2">
        <v>244.0</v>
      </c>
      <c r="F125" s="2">
        <v>237.0</v>
      </c>
      <c r="G125" s="2">
        <v>214.0</v>
      </c>
      <c r="H125" s="2">
        <v>190.0</v>
      </c>
      <c r="I125" s="2">
        <v>234.0</v>
      </c>
    </row>
    <row r="126" ht="15.75" customHeight="1">
      <c r="A126" s="4" t="s">
        <v>123</v>
      </c>
      <c r="B126" s="12">
        <v>115.0</v>
      </c>
      <c r="C126" s="12">
        <v>73.0</v>
      </c>
      <c r="D126" s="12">
        <v>73.0</v>
      </c>
      <c r="E126" s="12">
        <v>88.0</v>
      </c>
      <c r="F126" s="12">
        <v>42.0</v>
      </c>
      <c r="G126" s="12">
        <v>30.0</v>
      </c>
      <c r="H126" s="9">
        <v>25.0</v>
      </c>
      <c r="I126" s="9">
        <v>102.0</v>
      </c>
    </row>
    <row r="127" ht="15.75" customHeight="1">
      <c r="A127" s="15" t="s">
        <v>124</v>
      </c>
      <c r="B127" s="16">
        <f t="shared" ref="B127:I127" si="24">+B110+B114+B118+B122+B126</f>
        <v>28701</v>
      </c>
      <c r="C127" s="16">
        <f t="shared" si="24"/>
        <v>30507</v>
      </c>
      <c r="D127" s="16">
        <f t="shared" si="24"/>
        <v>32233</v>
      </c>
      <c r="E127" s="16">
        <f t="shared" si="24"/>
        <v>34485</v>
      </c>
      <c r="F127" s="16">
        <f t="shared" si="24"/>
        <v>37218</v>
      </c>
      <c r="G127" s="16">
        <f t="shared" si="24"/>
        <v>35568</v>
      </c>
      <c r="H127" s="16">
        <f t="shared" si="24"/>
        <v>42293</v>
      </c>
      <c r="I127" s="16">
        <f t="shared" si="24"/>
        <v>44436</v>
      </c>
    </row>
    <row r="128" ht="15.75" customHeight="1">
      <c r="A128" s="4" t="s">
        <v>125</v>
      </c>
      <c r="B128" s="12">
        <v>1982.0</v>
      </c>
      <c r="C128" s="12">
        <v>1955.0</v>
      </c>
      <c r="D128" s="12">
        <v>2042.0</v>
      </c>
      <c r="E128" s="12">
        <v>1886.0</v>
      </c>
      <c r="F128" s="12">
        <v>1906.0</v>
      </c>
      <c r="G128" s="12">
        <v>1846.0</v>
      </c>
      <c r="H128" s="9">
        <f t="shared" ref="H128:I128" si="25">+SUM(H129:H132)</f>
        <v>2205</v>
      </c>
      <c r="I128" s="9">
        <f t="shared" si="25"/>
        <v>2346</v>
      </c>
    </row>
    <row r="129" ht="15.75" customHeight="1">
      <c r="A129" s="4" t="s">
        <v>117</v>
      </c>
      <c r="B129" s="29" t="s">
        <v>94</v>
      </c>
      <c r="C129" s="29" t="s">
        <v>94</v>
      </c>
      <c r="D129" s="29" t="s">
        <v>94</v>
      </c>
      <c r="E129" s="9">
        <v>1611.0</v>
      </c>
      <c r="F129" s="9">
        <v>1658.0</v>
      </c>
      <c r="G129" s="2">
        <v>1642.0</v>
      </c>
      <c r="H129" s="9">
        <v>1986.0</v>
      </c>
      <c r="I129" s="9">
        <v>2094.0</v>
      </c>
    </row>
    <row r="130" ht="15.75" customHeight="1">
      <c r="A130" s="4" t="s">
        <v>118</v>
      </c>
      <c r="B130" s="29" t="s">
        <v>94</v>
      </c>
      <c r="C130" s="29" t="s">
        <v>94</v>
      </c>
      <c r="D130" s="29" t="s">
        <v>94</v>
      </c>
      <c r="E130" s="9">
        <v>144.0</v>
      </c>
      <c r="F130" s="9">
        <v>118.0</v>
      </c>
      <c r="G130" s="9">
        <v>89.0</v>
      </c>
      <c r="H130" s="9">
        <v>104.0</v>
      </c>
      <c r="I130" s="9">
        <v>103.0</v>
      </c>
    </row>
    <row r="131" ht="15.75" customHeight="1">
      <c r="A131" s="4" t="s">
        <v>119</v>
      </c>
      <c r="B131" s="29" t="s">
        <v>94</v>
      </c>
      <c r="C131" s="29" t="s">
        <v>94</v>
      </c>
      <c r="D131" s="29" t="s">
        <v>94</v>
      </c>
      <c r="E131" s="9">
        <v>28.0</v>
      </c>
      <c r="F131" s="9">
        <v>24.0</v>
      </c>
      <c r="G131" s="9">
        <v>25.0</v>
      </c>
      <c r="H131" s="9">
        <v>29.0</v>
      </c>
      <c r="I131" s="9">
        <v>26.0</v>
      </c>
    </row>
    <row r="132" ht="15.75" customHeight="1">
      <c r="A132" s="4" t="s">
        <v>126</v>
      </c>
      <c r="B132" s="29" t="s">
        <v>94</v>
      </c>
      <c r="C132" s="29" t="s">
        <v>94</v>
      </c>
      <c r="D132" s="29" t="s">
        <v>94</v>
      </c>
      <c r="E132" s="9">
        <v>103.0</v>
      </c>
      <c r="F132" s="9">
        <v>106.0</v>
      </c>
      <c r="G132" s="9">
        <v>90.0</v>
      </c>
      <c r="H132" s="9">
        <v>86.0</v>
      </c>
      <c r="I132" s="9">
        <v>123.0</v>
      </c>
    </row>
    <row r="133" ht="15.75" customHeight="1">
      <c r="A133" s="4" t="s">
        <v>127</v>
      </c>
      <c r="B133" s="12">
        <v>-82.0</v>
      </c>
      <c r="C133" s="12">
        <v>-86.0</v>
      </c>
      <c r="D133" s="12">
        <v>75.0</v>
      </c>
      <c r="E133" s="12">
        <v>26.0</v>
      </c>
      <c r="F133" s="12">
        <v>-7.0</v>
      </c>
      <c r="G133" s="12">
        <v>-11.0</v>
      </c>
      <c r="H133" s="9">
        <v>40.0</v>
      </c>
      <c r="I133" s="9">
        <v>-72.0</v>
      </c>
    </row>
    <row r="134" ht="15.75" customHeight="1">
      <c r="A134" s="17" t="s">
        <v>128</v>
      </c>
      <c r="B134" s="18">
        <f t="shared" ref="B134:I134" si="26">+B127+B128+B133</f>
        <v>30601</v>
      </c>
      <c r="C134" s="18">
        <f t="shared" si="26"/>
        <v>32376</v>
      </c>
      <c r="D134" s="18">
        <f t="shared" si="26"/>
        <v>34350</v>
      </c>
      <c r="E134" s="18">
        <f t="shared" si="26"/>
        <v>36397</v>
      </c>
      <c r="F134" s="18">
        <f t="shared" si="26"/>
        <v>39117</v>
      </c>
      <c r="G134" s="18">
        <f t="shared" si="26"/>
        <v>37403</v>
      </c>
      <c r="H134" s="18">
        <f t="shared" si="26"/>
        <v>44538</v>
      </c>
      <c r="I134" s="18">
        <f t="shared" si="26"/>
        <v>46710</v>
      </c>
    </row>
    <row r="135" ht="15.75" customHeight="1">
      <c r="A135" s="20" t="s">
        <v>129</v>
      </c>
      <c r="B135" s="21">
        <f>+I134-I2</f>
        <v>0</v>
      </c>
      <c r="C135" s="21">
        <f t="shared" ref="C135:H135" si="27">+C134-C2</f>
        <v>0</v>
      </c>
      <c r="D135" s="21">
        <f t="shared" si="27"/>
        <v>0</v>
      </c>
      <c r="E135" s="21">
        <f t="shared" si="27"/>
        <v>0</v>
      </c>
      <c r="F135" s="21">
        <f t="shared" si="27"/>
        <v>0</v>
      </c>
      <c r="G135" s="21">
        <f t="shared" si="27"/>
        <v>0</v>
      </c>
      <c r="H135" s="21">
        <f t="shared" si="27"/>
        <v>0</v>
      </c>
      <c r="I135" s="20"/>
    </row>
    <row r="136" ht="15.75" customHeight="1">
      <c r="A136" s="3" t="s">
        <v>130</v>
      </c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ht="15.75" customHeight="1">
      <c r="A137" s="4" t="s">
        <v>116</v>
      </c>
      <c r="B137" s="9">
        <v>3645.0</v>
      </c>
      <c r="C137" s="9">
        <v>3763.0</v>
      </c>
      <c r="D137" s="9">
        <v>3875.0</v>
      </c>
      <c r="E137" s="9">
        <v>3600.0</v>
      </c>
      <c r="F137" s="9">
        <v>3925.0</v>
      </c>
      <c r="G137" s="9">
        <v>2899.0</v>
      </c>
      <c r="H137" s="9">
        <v>5089.0</v>
      </c>
      <c r="I137" s="9">
        <v>5114.0</v>
      </c>
    </row>
    <row r="138" ht="15.75" customHeight="1">
      <c r="A138" s="4" t="s">
        <v>120</v>
      </c>
      <c r="B138" s="9">
        <v>1524.0</v>
      </c>
      <c r="C138" s="9">
        <v>1787.0</v>
      </c>
      <c r="D138" s="9">
        <v>1507.0</v>
      </c>
      <c r="E138" s="9">
        <v>1587.0</v>
      </c>
      <c r="F138" s="9">
        <v>1995.0</v>
      </c>
      <c r="G138" s="9">
        <v>1541.0</v>
      </c>
      <c r="H138" s="9">
        <v>2435.0</v>
      </c>
      <c r="I138" s="9">
        <v>3293.0</v>
      </c>
    </row>
    <row r="139" ht="15.75" customHeight="1">
      <c r="A139" s="4" t="s">
        <v>121</v>
      </c>
      <c r="B139" s="9">
        <v>993.0</v>
      </c>
      <c r="C139" s="9">
        <v>1372.0</v>
      </c>
      <c r="D139" s="9">
        <v>1507.0</v>
      </c>
      <c r="E139" s="9">
        <v>1807.0</v>
      </c>
      <c r="F139" s="9">
        <v>2376.0</v>
      </c>
      <c r="G139" s="9">
        <v>2490.0</v>
      </c>
      <c r="H139" s="9">
        <v>3243.0</v>
      </c>
      <c r="I139" s="9">
        <v>2365.0</v>
      </c>
    </row>
    <row r="140" ht="15.75" customHeight="1">
      <c r="A140" s="4" t="s">
        <v>122</v>
      </c>
      <c r="B140" s="9">
        <v>918.0</v>
      </c>
      <c r="C140" s="9">
        <v>1002.0</v>
      </c>
      <c r="D140" s="9">
        <v>980.0</v>
      </c>
      <c r="E140" s="9">
        <v>1189.0</v>
      </c>
      <c r="F140" s="9">
        <v>1323.0</v>
      </c>
      <c r="G140" s="9">
        <v>1184.0</v>
      </c>
      <c r="H140" s="9">
        <v>1530.0</v>
      </c>
      <c r="I140" s="9">
        <v>1896.0</v>
      </c>
    </row>
    <row r="141" ht="15.75" customHeight="1">
      <c r="A141" s="4" t="s">
        <v>123</v>
      </c>
      <c r="B141" s="9">
        <v>-2263.0</v>
      </c>
      <c r="C141" s="9">
        <v>-2596.0</v>
      </c>
      <c r="D141" s="9">
        <v>-2677.0</v>
      </c>
      <c r="E141" s="9">
        <v>-2658.0</v>
      </c>
      <c r="F141" s="9">
        <v>-3262.0</v>
      </c>
      <c r="G141" s="9">
        <v>-3468.0</v>
      </c>
      <c r="H141" s="9">
        <v>-3656.0</v>
      </c>
      <c r="I141" s="9">
        <v>-4262.0</v>
      </c>
    </row>
    <row r="142" ht="15.75" customHeight="1">
      <c r="A142" s="15" t="s">
        <v>124</v>
      </c>
      <c r="B142" s="16">
        <f t="shared" ref="B142:I142" si="28">+SUM(B137:B141)</f>
        <v>4817</v>
      </c>
      <c r="C142" s="16">
        <f t="shared" si="28"/>
        <v>5328</v>
      </c>
      <c r="D142" s="16">
        <f t="shared" si="28"/>
        <v>5192</v>
      </c>
      <c r="E142" s="16">
        <f t="shared" si="28"/>
        <v>5525</v>
      </c>
      <c r="F142" s="16">
        <f t="shared" si="28"/>
        <v>6357</v>
      </c>
      <c r="G142" s="16">
        <f t="shared" si="28"/>
        <v>4646</v>
      </c>
      <c r="H142" s="16">
        <f t="shared" si="28"/>
        <v>8641</v>
      </c>
      <c r="I142" s="16">
        <f t="shared" si="28"/>
        <v>8406</v>
      </c>
    </row>
    <row r="143" ht="15.75" customHeight="1">
      <c r="A143" s="4" t="s">
        <v>125</v>
      </c>
      <c r="B143" s="9">
        <v>517.0</v>
      </c>
      <c r="C143" s="9">
        <v>487.0</v>
      </c>
      <c r="D143" s="9">
        <v>477.0</v>
      </c>
      <c r="E143" s="9">
        <v>310.0</v>
      </c>
      <c r="F143" s="9">
        <v>303.0</v>
      </c>
      <c r="G143" s="9">
        <v>297.0</v>
      </c>
      <c r="H143" s="9">
        <v>543.0</v>
      </c>
      <c r="I143" s="9">
        <v>669.0</v>
      </c>
    </row>
    <row r="144" ht="15.75" customHeight="1">
      <c r="A144" s="4" t="s">
        <v>127</v>
      </c>
      <c r="B144" s="9">
        <v>-1101.0</v>
      </c>
      <c r="C144" s="9">
        <v>-1173.0</v>
      </c>
      <c r="D144" s="9">
        <v>-724.0</v>
      </c>
      <c r="E144" s="9">
        <v>-1456.0</v>
      </c>
      <c r="F144" s="9">
        <v>-1810.0</v>
      </c>
      <c r="G144" s="9">
        <v>-1967.0</v>
      </c>
      <c r="H144" s="9">
        <v>-2261.0</v>
      </c>
      <c r="I144" s="9">
        <v>-2219.0</v>
      </c>
    </row>
    <row r="145" ht="15.75" customHeight="1">
      <c r="A145" s="17" t="s">
        <v>131</v>
      </c>
      <c r="B145" s="18">
        <f t="shared" ref="B145:I145" si="29">+SUM(B142:B144)</f>
        <v>4233</v>
      </c>
      <c r="C145" s="18">
        <f t="shared" si="29"/>
        <v>4642</v>
      </c>
      <c r="D145" s="18">
        <f t="shared" si="29"/>
        <v>4945</v>
      </c>
      <c r="E145" s="18">
        <f t="shared" si="29"/>
        <v>4379</v>
      </c>
      <c r="F145" s="18">
        <f t="shared" si="29"/>
        <v>4850</v>
      </c>
      <c r="G145" s="18">
        <f t="shared" si="29"/>
        <v>2976</v>
      </c>
      <c r="H145" s="18">
        <f t="shared" si="29"/>
        <v>6923</v>
      </c>
      <c r="I145" s="18">
        <f t="shared" si="29"/>
        <v>6856</v>
      </c>
    </row>
    <row r="146" ht="15.75" customHeight="1">
      <c r="A146" s="20" t="s">
        <v>129</v>
      </c>
      <c r="B146" s="21">
        <f t="shared" ref="B146:I146" si="30">+B145-B10-B8</f>
        <v>0</v>
      </c>
      <c r="C146" s="21">
        <f t="shared" si="30"/>
        <v>0</v>
      </c>
      <c r="D146" s="21">
        <f t="shared" si="30"/>
        <v>0</v>
      </c>
      <c r="E146" s="21">
        <f t="shared" si="30"/>
        <v>0</v>
      </c>
      <c r="F146" s="21">
        <f t="shared" si="30"/>
        <v>0</v>
      </c>
      <c r="G146" s="21">
        <f t="shared" si="30"/>
        <v>0</v>
      </c>
      <c r="H146" s="21">
        <f t="shared" si="30"/>
        <v>0</v>
      </c>
      <c r="I146" s="21">
        <f t="shared" si="30"/>
        <v>0</v>
      </c>
    </row>
    <row r="147" ht="15.75" customHeight="1">
      <c r="A147" s="3" t="s">
        <v>132</v>
      </c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ht="15.75" customHeight="1">
      <c r="A148" s="4" t="s">
        <v>116</v>
      </c>
      <c r="B148" s="9">
        <v>632.0</v>
      </c>
      <c r="C148" s="9">
        <v>742.0</v>
      </c>
      <c r="D148" s="9">
        <v>819.0</v>
      </c>
      <c r="E148" s="9">
        <v>848.0</v>
      </c>
      <c r="F148" s="9">
        <v>814.0</v>
      </c>
      <c r="G148" s="9">
        <v>645.0</v>
      </c>
      <c r="H148" s="9">
        <v>617.0</v>
      </c>
      <c r="I148" s="9">
        <v>639.0</v>
      </c>
    </row>
    <row r="149" ht="15.75" customHeight="1">
      <c r="A149" s="4" t="s">
        <v>120</v>
      </c>
      <c r="B149" s="9">
        <v>498.0</v>
      </c>
      <c r="C149" s="9">
        <v>639.0</v>
      </c>
      <c r="D149" s="9">
        <v>709.0</v>
      </c>
      <c r="E149" s="9">
        <v>849.0</v>
      </c>
      <c r="F149" s="9">
        <v>929.0</v>
      </c>
      <c r="G149" s="9">
        <v>885.0</v>
      </c>
      <c r="H149" s="9">
        <v>982.0</v>
      </c>
      <c r="I149" s="9">
        <v>920.0</v>
      </c>
    </row>
    <row r="150" ht="15.75" customHeight="1">
      <c r="A150" s="4" t="s">
        <v>121</v>
      </c>
      <c r="B150" s="9">
        <v>254.0</v>
      </c>
      <c r="C150" s="9">
        <v>234.0</v>
      </c>
      <c r="D150" s="9">
        <v>225.0</v>
      </c>
      <c r="E150" s="9">
        <v>256.0</v>
      </c>
      <c r="F150" s="9">
        <v>237.0</v>
      </c>
      <c r="G150" s="9">
        <v>214.0</v>
      </c>
      <c r="H150" s="9">
        <v>288.0</v>
      </c>
      <c r="I150" s="9">
        <v>303.0</v>
      </c>
    </row>
    <row r="151" ht="15.75" customHeight="1">
      <c r="A151" s="4" t="s">
        <v>133</v>
      </c>
      <c r="B151" s="9">
        <v>308.0</v>
      </c>
      <c r="C151" s="9">
        <v>332.0</v>
      </c>
      <c r="D151" s="9">
        <v>340.0</v>
      </c>
      <c r="E151" s="9">
        <v>339.0</v>
      </c>
      <c r="F151" s="9">
        <v>326.0</v>
      </c>
      <c r="G151" s="9">
        <v>296.0</v>
      </c>
      <c r="H151" s="9">
        <v>304.0</v>
      </c>
      <c r="I151" s="9">
        <v>274.0</v>
      </c>
    </row>
    <row r="152" ht="15.75" customHeight="1">
      <c r="A152" s="4" t="s">
        <v>123</v>
      </c>
      <c r="B152" s="9">
        <v>484.0</v>
      </c>
      <c r="C152" s="9">
        <v>511.0</v>
      </c>
      <c r="D152" s="9">
        <v>533.0</v>
      </c>
      <c r="E152" s="9">
        <v>597.0</v>
      </c>
      <c r="F152" s="9">
        <v>665.0</v>
      </c>
      <c r="G152" s="9">
        <v>830.0</v>
      </c>
      <c r="H152" s="9">
        <v>780.0</v>
      </c>
      <c r="I152" s="9">
        <v>789.0</v>
      </c>
    </row>
    <row r="153" ht="15.75" customHeight="1">
      <c r="A153" s="15" t="s">
        <v>134</v>
      </c>
      <c r="B153" s="16">
        <f t="shared" ref="B153:I153" si="31">+SUM(B148:B152)</f>
        <v>2176</v>
      </c>
      <c r="C153" s="16">
        <f t="shared" si="31"/>
        <v>2458</v>
      </c>
      <c r="D153" s="16">
        <f t="shared" si="31"/>
        <v>2626</v>
      </c>
      <c r="E153" s="16">
        <f t="shared" si="31"/>
        <v>2889</v>
      </c>
      <c r="F153" s="16">
        <f t="shared" si="31"/>
        <v>2971</v>
      </c>
      <c r="G153" s="16">
        <f t="shared" si="31"/>
        <v>2870</v>
      </c>
      <c r="H153" s="16">
        <f t="shared" si="31"/>
        <v>2971</v>
      </c>
      <c r="I153" s="16">
        <f t="shared" si="31"/>
        <v>2925</v>
      </c>
    </row>
    <row r="154" ht="15.75" customHeight="1">
      <c r="A154" s="4" t="s">
        <v>125</v>
      </c>
      <c r="B154" s="9">
        <v>122.0</v>
      </c>
      <c r="C154" s="9">
        <v>125.0</v>
      </c>
      <c r="D154" s="9">
        <v>125.0</v>
      </c>
      <c r="E154" s="9">
        <v>115.0</v>
      </c>
      <c r="F154" s="9">
        <v>100.0</v>
      </c>
      <c r="G154" s="9">
        <v>80.0</v>
      </c>
      <c r="H154" s="9">
        <v>63.0</v>
      </c>
      <c r="I154" s="9">
        <v>49.0</v>
      </c>
    </row>
    <row r="155" ht="15.75" customHeight="1">
      <c r="A155" s="4" t="s">
        <v>127</v>
      </c>
      <c r="B155" s="9">
        <v>713.0</v>
      </c>
      <c r="C155" s="9">
        <v>937.0</v>
      </c>
      <c r="D155" s="9">
        <v>1238.0</v>
      </c>
      <c r="E155" s="9">
        <v>1450.0</v>
      </c>
      <c r="F155" s="9">
        <v>1673.0</v>
      </c>
      <c r="G155" s="9">
        <v>1916.0</v>
      </c>
      <c r="H155" s="9">
        <v>1870.0</v>
      </c>
      <c r="I155" s="9">
        <v>1817.0</v>
      </c>
    </row>
    <row r="156" ht="15.75" customHeight="1">
      <c r="A156" s="17" t="s">
        <v>135</v>
      </c>
      <c r="B156" s="18">
        <f t="shared" ref="B156:I156" si="32">+SUM(B153:B155)</f>
        <v>3011</v>
      </c>
      <c r="C156" s="18">
        <f t="shared" si="32"/>
        <v>3520</v>
      </c>
      <c r="D156" s="18">
        <f t="shared" si="32"/>
        <v>3989</v>
      </c>
      <c r="E156" s="18">
        <f t="shared" si="32"/>
        <v>4454</v>
      </c>
      <c r="F156" s="18">
        <f t="shared" si="32"/>
        <v>4744</v>
      </c>
      <c r="G156" s="18">
        <f t="shared" si="32"/>
        <v>4866</v>
      </c>
      <c r="H156" s="18">
        <f t="shared" si="32"/>
        <v>4904</v>
      </c>
      <c r="I156" s="18">
        <f t="shared" si="32"/>
        <v>4791</v>
      </c>
    </row>
    <row r="157" ht="15.75" customHeight="1">
      <c r="A157" s="20" t="s">
        <v>129</v>
      </c>
      <c r="B157" s="21">
        <f t="shared" ref="B157:I157" si="33">+B156-B31</f>
        <v>0</v>
      </c>
      <c r="C157" s="21">
        <f t="shared" si="33"/>
        <v>0</v>
      </c>
      <c r="D157" s="21">
        <f t="shared" si="33"/>
        <v>0</v>
      </c>
      <c r="E157" s="21">
        <f t="shared" si="33"/>
        <v>0</v>
      </c>
      <c r="F157" s="21">
        <f t="shared" si="33"/>
        <v>0</v>
      </c>
      <c r="G157" s="21">
        <f t="shared" si="33"/>
        <v>0</v>
      </c>
      <c r="H157" s="21">
        <f t="shared" si="33"/>
        <v>0</v>
      </c>
      <c r="I157" s="21">
        <f t="shared" si="33"/>
        <v>0</v>
      </c>
    </row>
    <row r="158" ht="15.75" customHeight="1">
      <c r="A158" s="3" t="s">
        <v>136</v>
      </c>
    </row>
    <row r="159" ht="15.75" customHeight="1">
      <c r="A159" s="4" t="s">
        <v>116</v>
      </c>
      <c r="B159" s="9">
        <v>208.0</v>
      </c>
      <c r="C159" s="9">
        <v>242.0</v>
      </c>
      <c r="D159" s="9">
        <v>223.0</v>
      </c>
      <c r="E159" s="9">
        <v>196.0</v>
      </c>
      <c r="F159" s="9">
        <v>117.0</v>
      </c>
      <c r="G159" s="9">
        <v>110.0</v>
      </c>
      <c r="H159" s="9">
        <v>98.0</v>
      </c>
      <c r="I159" s="9">
        <v>146.0</v>
      </c>
    </row>
    <row r="160" ht="15.75" customHeight="1">
      <c r="A160" s="4" t="s">
        <v>120</v>
      </c>
      <c r="B160" s="9">
        <v>236.0</v>
      </c>
      <c r="C160" s="9">
        <v>232.0</v>
      </c>
      <c r="D160" s="9">
        <v>173.0</v>
      </c>
      <c r="E160" s="9">
        <v>240.0</v>
      </c>
      <c r="F160" s="9">
        <v>233.0</v>
      </c>
      <c r="G160" s="9">
        <v>139.0</v>
      </c>
      <c r="H160" s="9">
        <v>153.0</v>
      </c>
      <c r="I160" s="9">
        <v>197.0</v>
      </c>
    </row>
    <row r="161" ht="15.75" customHeight="1">
      <c r="A161" s="4" t="s">
        <v>121</v>
      </c>
      <c r="B161" s="9">
        <v>69.0</v>
      </c>
      <c r="C161" s="9">
        <v>44.0</v>
      </c>
      <c r="D161" s="9">
        <v>51.0</v>
      </c>
      <c r="E161" s="9">
        <v>76.0</v>
      </c>
      <c r="F161" s="9">
        <v>49.0</v>
      </c>
      <c r="G161" s="9">
        <v>28.0</v>
      </c>
      <c r="H161" s="9">
        <v>94.0</v>
      </c>
      <c r="I161" s="9">
        <v>78.0</v>
      </c>
    </row>
    <row r="162" ht="15.75" customHeight="1">
      <c r="A162" s="4" t="s">
        <v>133</v>
      </c>
      <c r="B162" s="9">
        <v>52.0</v>
      </c>
      <c r="C162" s="9">
        <v>64.0</v>
      </c>
      <c r="D162" s="9">
        <v>59.0</v>
      </c>
      <c r="E162" s="9">
        <v>49.0</v>
      </c>
      <c r="F162" s="9">
        <v>47.0</v>
      </c>
      <c r="G162" s="9">
        <v>41.0</v>
      </c>
      <c r="H162" s="9">
        <v>54.0</v>
      </c>
      <c r="I162" s="9">
        <v>56.0</v>
      </c>
    </row>
    <row r="163" ht="15.75" customHeight="1">
      <c r="A163" s="4" t="s">
        <v>123</v>
      </c>
      <c r="B163" s="9">
        <v>225.0</v>
      </c>
      <c r="C163" s="9">
        <v>258.0</v>
      </c>
      <c r="D163" s="9">
        <v>278.0</v>
      </c>
      <c r="E163" s="9">
        <v>286.0</v>
      </c>
      <c r="F163" s="9">
        <v>278.0</v>
      </c>
      <c r="G163" s="9">
        <v>438.0</v>
      </c>
      <c r="H163" s="9">
        <v>278.0</v>
      </c>
      <c r="I163" s="9">
        <v>222.0</v>
      </c>
    </row>
    <row r="164" ht="15.75" customHeight="1">
      <c r="A164" s="15" t="s">
        <v>134</v>
      </c>
      <c r="B164" s="16">
        <f t="shared" ref="B164:I164" si="34">+SUM(B159:B163)</f>
        <v>790</v>
      </c>
      <c r="C164" s="16">
        <f t="shared" si="34"/>
        <v>840</v>
      </c>
      <c r="D164" s="16">
        <f t="shared" si="34"/>
        <v>784</v>
      </c>
      <c r="E164" s="16">
        <f t="shared" si="34"/>
        <v>847</v>
      </c>
      <c r="F164" s="16">
        <f t="shared" si="34"/>
        <v>724</v>
      </c>
      <c r="G164" s="16">
        <f t="shared" si="34"/>
        <v>756</v>
      </c>
      <c r="H164" s="16">
        <f t="shared" si="34"/>
        <v>677</v>
      </c>
      <c r="I164" s="16">
        <f t="shared" si="34"/>
        <v>699</v>
      </c>
    </row>
    <row r="165" ht="15.75" customHeight="1">
      <c r="A165" s="4" t="s">
        <v>125</v>
      </c>
      <c r="B165" s="9">
        <v>69.0</v>
      </c>
      <c r="C165" s="9">
        <v>39.0</v>
      </c>
      <c r="D165" s="9">
        <v>30.0</v>
      </c>
      <c r="E165" s="9">
        <v>22.0</v>
      </c>
      <c r="F165" s="9">
        <v>18.0</v>
      </c>
      <c r="G165" s="9">
        <v>12.0</v>
      </c>
      <c r="H165" s="9">
        <v>7.0</v>
      </c>
      <c r="I165" s="9">
        <v>9.0</v>
      </c>
    </row>
    <row r="166" ht="15.75" customHeight="1">
      <c r="A166" s="4" t="s">
        <v>127</v>
      </c>
      <c r="B166" s="9">
        <v>144.0</v>
      </c>
      <c r="C166" s="9">
        <v>312.0</v>
      </c>
      <c r="D166" s="9">
        <v>387.0</v>
      </c>
      <c r="E166" s="9">
        <v>325.0</v>
      </c>
      <c r="F166" s="9">
        <v>333.0</v>
      </c>
      <c r="G166" s="2">
        <v>356.0</v>
      </c>
      <c r="H166" s="9">
        <v>107.0</v>
      </c>
      <c r="I166" s="9">
        <f>-(SUM(I164:I165)+I82)</f>
        <v>50</v>
      </c>
    </row>
    <row r="167" ht="15.75" customHeight="1">
      <c r="A167" s="30" t="s">
        <v>137</v>
      </c>
      <c r="B167" s="31">
        <v>-40.0</v>
      </c>
      <c r="C167" s="31">
        <v>-48.0</v>
      </c>
      <c r="D167" s="31">
        <v>-96.0</v>
      </c>
      <c r="E167" s="31">
        <v>-166.0</v>
      </c>
      <c r="F167" s="31">
        <v>44.0</v>
      </c>
      <c r="G167" s="32">
        <v>-38.0</v>
      </c>
      <c r="H167" s="31">
        <v>-96.0</v>
      </c>
      <c r="I167" s="9"/>
    </row>
    <row r="168" ht="15.75" customHeight="1">
      <c r="A168" s="17" t="s">
        <v>138</v>
      </c>
      <c r="B168" s="18">
        <f t="shared" ref="B168:H168" si="35">+SUM(B164:B167)</f>
        <v>963</v>
      </c>
      <c r="C168" s="18">
        <f t="shared" si="35"/>
        <v>1143</v>
      </c>
      <c r="D168" s="18">
        <f t="shared" si="35"/>
        <v>1105</v>
      </c>
      <c r="E168" s="18">
        <f t="shared" si="35"/>
        <v>1028</v>
      </c>
      <c r="F168" s="18">
        <f t="shared" si="35"/>
        <v>1119</v>
      </c>
      <c r="G168" s="18">
        <f t="shared" si="35"/>
        <v>1086</v>
      </c>
      <c r="H168" s="18">
        <f t="shared" si="35"/>
        <v>695</v>
      </c>
      <c r="I168" s="18">
        <f>+SUM(I164:I166)</f>
        <v>758</v>
      </c>
    </row>
    <row r="169" ht="15.75" customHeight="1">
      <c r="A169" s="20" t="s">
        <v>129</v>
      </c>
      <c r="B169" s="21">
        <f t="shared" ref="B169:I169" si="36">+B168+B82</f>
        <v>0</v>
      </c>
      <c r="C169" s="21">
        <f t="shared" si="36"/>
        <v>0</v>
      </c>
      <c r="D169" s="21">
        <f t="shared" si="36"/>
        <v>0</v>
      </c>
      <c r="E169" s="21">
        <f t="shared" si="36"/>
        <v>0</v>
      </c>
      <c r="F169" s="21">
        <f t="shared" si="36"/>
        <v>0</v>
      </c>
      <c r="G169" s="21">
        <f t="shared" si="36"/>
        <v>0</v>
      </c>
      <c r="H169" s="21">
        <f t="shared" si="36"/>
        <v>0</v>
      </c>
      <c r="I169" s="21">
        <f t="shared" si="36"/>
        <v>0</v>
      </c>
    </row>
    <row r="170" ht="15.75" customHeight="1">
      <c r="A170" s="3" t="s">
        <v>139</v>
      </c>
    </row>
    <row r="171" ht="15.75" customHeight="1">
      <c r="A171" s="4" t="s">
        <v>116</v>
      </c>
      <c r="B171" s="9">
        <v>121.0</v>
      </c>
      <c r="C171" s="9">
        <v>133.0</v>
      </c>
      <c r="D171" s="9">
        <v>140.0</v>
      </c>
      <c r="E171" s="9">
        <v>160.0</v>
      </c>
      <c r="F171" s="9">
        <v>149.0</v>
      </c>
      <c r="G171" s="9">
        <v>148.0</v>
      </c>
      <c r="H171" s="9">
        <v>130.0</v>
      </c>
      <c r="I171" s="9">
        <v>124.0</v>
      </c>
    </row>
    <row r="172" ht="15.75" customHeight="1">
      <c r="A172" s="4" t="s">
        <v>120</v>
      </c>
      <c r="B172" s="9">
        <v>87.0</v>
      </c>
      <c r="C172" s="9">
        <v>84.0</v>
      </c>
      <c r="D172" s="9">
        <v>104.0</v>
      </c>
      <c r="E172" s="9">
        <v>116.0</v>
      </c>
      <c r="F172" s="9">
        <v>111.0</v>
      </c>
      <c r="G172" s="9">
        <v>132.0</v>
      </c>
      <c r="H172" s="9">
        <v>136.0</v>
      </c>
      <c r="I172" s="9">
        <v>134.0</v>
      </c>
    </row>
    <row r="173" ht="15.75" customHeight="1">
      <c r="A173" s="4" t="s">
        <v>121</v>
      </c>
      <c r="B173" s="9">
        <v>46.0</v>
      </c>
      <c r="C173" s="9">
        <v>48.0</v>
      </c>
      <c r="D173" s="9">
        <v>54.0</v>
      </c>
      <c r="E173" s="9">
        <v>56.0</v>
      </c>
      <c r="F173" s="9">
        <v>50.0</v>
      </c>
      <c r="G173" s="9">
        <v>44.0</v>
      </c>
      <c r="H173" s="9">
        <v>46.0</v>
      </c>
      <c r="I173" s="9">
        <v>41.0</v>
      </c>
    </row>
    <row r="174" ht="15.75" customHeight="1">
      <c r="A174" s="4" t="s">
        <v>122</v>
      </c>
      <c r="B174" s="9">
        <v>49.0</v>
      </c>
      <c r="C174" s="9">
        <v>43.0</v>
      </c>
      <c r="D174" s="9">
        <v>56.0</v>
      </c>
      <c r="E174" s="9">
        <v>55.0</v>
      </c>
      <c r="F174" s="9">
        <v>53.0</v>
      </c>
      <c r="G174" s="9">
        <v>46.0</v>
      </c>
      <c r="H174" s="9">
        <v>43.0</v>
      </c>
      <c r="I174" s="9">
        <v>42.0</v>
      </c>
    </row>
    <row r="175" ht="15.75" customHeight="1">
      <c r="A175" s="4" t="s">
        <v>123</v>
      </c>
      <c r="B175" s="9">
        <v>210.0</v>
      </c>
      <c r="C175" s="9">
        <v>230.0</v>
      </c>
      <c r="D175" s="9">
        <v>233.0</v>
      </c>
      <c r="E175" s="9">
        <v>217.0</v>
      </c>
      <c r="F175" s="9">
        <v>195.0</v>
      </c>
      <c r="G175" s="9">
        <v>214.0</v>
      </c>
      <c r="H175" s="9">
        <v>222.0</v>
      </c>
      <c r="I175" s="9">
        <v>220.0</v>
      </c>
    </row>
    <row r="176" ht="15.75" customHeight="1">
      <c r="A176" s="15" t="s">
        <v>134</v>
      </c>
      <c r="B176" s="16">
        <f t="shared" ref="B176:I176" si="37">+SUM(B171:B175)</f>
        <v>513</v>
      </c>
      <c r="C176" s="16">
        <f t="shared" si="37"/>
        <v>538</v>
      </c>
      <c r="D176" s="16">
        <f t="shared" si="37"/>
        <v>587</v>
      </c>
      <c r="E176" s="16">
        <f t="shared" si="37"/>
        <v>604</v>
      </c>
      <c r="F176" s="16">
        <f t="shared" si="37"/>
        <v>558</v>
      </c>
      <c r="G176" s="16">
        <f t="shared" si="37"/>
        <v>584</v>
      </c>
      <c r="H176" s="16">
        <f t="shared" si="37"/>
        <v>577</v>
      </c>
      <c r="I176" s="16">
        <f t="shared" si="37"/>
        <v>561</v>
      </c>
    </row>
    <row r="177" ht="15.75" customHeight="1">
      <c r="A177" s="4" t="s">
        <v>125</v>
      </c>
      <c r="B177" s="9">
        <v>18.0</v>
      </c>
      <c r="C177" s="9">
        <v>27.0</v>
      </c>
      <c r="D177" s="9">
        <v>28.0</v>
      </c>
      <c r="E177" s="9">
        <v>33.0</v>
      </c>
      <c r="F177" s="9">
        <v>31.0</v>
      </c>
      <c r="G177" s="9">
        <v>25.0</v>
      </c>
      <c r="H177" s="9">
        <v>26.0</v>
      </c>
      <c r="I177" s="9">
        <v>22.0</v>
      </c>
    </row>
    <row r="178" ht="15.75" customHeight="1">
      <c r="A178" s="4" t="s">
        <v>127</v>
      </c>
      <c r="B178" s="9">
        <v>75.0</v>
      </c>
      <c r="C178" s="9">
        <v>84.0</v>
      </c>
      <c r="D178" s="9">
        <v>91.0</v>
      </c>
      <c r="E178" s="9">
        <v>110.0</v>
      </c>
      <c r="F178" s="9">
        <v>116.0</v>
      </c>
      <c r="G178" s="9">
        <v>112.0</v>
      </c>
      <c r="H178" s="9">
        <v>141.0</v>
      </c>
      <c r="I178" s="9">
        <v>134.0</v>
      </c>
    </row>
    <row r="179" ht="15.75" customHeight="1">
      <c r="A179" s="17" t="s">
        <v>140</v>
      </c>
      <c r="B179" s="18">
        <f t="shared" ref="B179:I179" si="38">+SUM(B176:B178)</f>
        <v>606</v>
      </c>
      <c r="C179" s="18">
        <f t="shared" si="38"/>
        <v>649</v>
      </c>
      <c r="D179" s="18">
        <f t="shared" si="38"/>
        <v>706</v>
      </c>
      <c r="E179" s="18">
        <f t="shared" si="38"/>
        <v>747</v>
      </c>
      <c r="F179" s="18">
        <f t="shared" si="38"/>
        <v>705</v>
      </c>
      <c r="G179" s="18">
        <f t="shared" si="38"/>
        <v>721</v>
      </c>
      <c r="H179" s="18">
        <f t="shared" si="38"/>
        <v>744</v>
      </c>
      <c r="I179" s="18">
        <f t="shared" si="38"/>
        <v>717</v>
      </c>
    </row>
    <row r="180" ht="15.75" customHeight="1">
      <c r="A180" s="20" t="s">
        <v>129</v>
      </c>
      <c r="B180" s="21">
        <f t="shared" ref="B180:I180" si="39">+B179-B66</f>
        <v>0</v>
      </c>
      <c r="C180" s="21">
        <f t="shared" si="39"/>
        <v>0</v>
      </c>
      <c r="D180" s="21">
        <f t="shared" si="39"/>
        <v>0</v>
      </c>
      <c r="E180" s="21">
        <f t="shared" si="39"/>
        <v>0</v>
      </c>
      <c r="F180" s="21">
        <f t="shared" si="39"/>
        <v>0</v>
      </c>
      <c r="G180" s="21">
        <f t="shared" si="39"/>
        <v>0</v>
      </c>
      <c r="H180" s="21">
        <f t="shared" si="39"/>
        <v>0</v>
      </c>
      <c r="I180" s="21">
        <f t="shared" si="39"/>
        <v>0</v>
      </c>
    </row>
    <row r="181" ht="15.75" customHeight="1">
      <c r="A181" s="22" t="s">
        <v>141</v>
      </c>
      <c r="B181" s="22"/>
      <c r="C181" s="22"/>
      <c r="D181" s="22"/>
      <c r="E181" s="22"/>
      <c r="F181" s="22"/>
      <c r="G181" s="22"/>
      <c r="H181" s="22"/>
      <c r="I181" s="22"/>
    </row>
    <row r="182" ht="15.75" customHeight="1">
      <c r="A182" s="24" t="s">
        <v>142</v>
      </c>
    </row>
    <row r="183" ht="15.75" customHeight="1">
      <c r="A183" s="33" t="s">
        <v>116</v>
      </c>
      <c r="B183" s="34">
        <v>0.14</v>
      </c>
      <c r="C183" s="34">
        <v>0.08</v>
      </c>
      <c r="D183" s="34">
        <v>0.03</v>
      </c>
      <c r="E183" s="34">
        <v>-0.02</v>
      </c>
      <c r="F183" s="34">
        <v>0.07</v>
      </c>
      <c r="G183" s="34">
        <v>-0.09</v>
      </c>
      <c r="H183" s="34">
        <v>0.19</v>
      </c>
      <c r="I183" s="34">
        <v>0.07</v>
      </c>
    </row>
    <row r="184" ht="15.75" customHeight="1">
      <c r="A184" s="35" t="s">
        <v>117</v>
      </c>
      <c r="B184" s="36">
        <v>0.12</v>
      </c>
      <c r="C184" s="36">
        <v>0.09</v>
      </c>
      <c r="D184" s="36">
        <v>0.04</v>
      </c>
      <c r="E184" s="36">
        <v>-0.04</v>
      </c>
      <c r="F184" s="36">
        <v>0.08</v>
      </c>
      <c r="G184" s="36">
        <v>-0.07</v>
      </c>
      <c r="H184" s="36">
        <v>0.25</v>
      </c>
      <c r="I184" s="36">
        <v>0.05</v>
      </c>
    </row>
    <row r="185" ht="15.75" customHeight="1">
      <c r="A185" s="35" t="s">
        <v>118</v>
      </c>
      <c r="B185" s="36">
        <v>-0.05</v>
      </c>
      <c r="C185" s="36">
        <v>0.08</v>
      </c>
      <c r="D185" s="36">
        <v>0.03</v>
      </c>
      <c r="E185" s="36">
        <v>0.01</v>
      </c>
      <c r="F185" s="36">
        <v>0.07</v>
      </c>
      <c r="G185" s="36">
        <v>-0.12</v>
      </c>
      <c r="H185" s="36">
        <v>0.08</v>
      </c>
      <c r="I185" s="36">
        <v>0.09</v>
      </c>
    </row>
    <row r="186" ht="15.75" customHeight="1">
      <c r="A186" s="35" t="s">
        <v>119</v>
      </c>
      <c r="B186" s="36">
        <v>0.12</v>
      </c>
      <c r="C186" s="36">
        <v>-0.13</v>
      </c>
      <c r="D186" s="36">
        <v>-0.1</v>
      </c>
      <c r="E186" s="36">
        <v>-0.08</v>
      </c>
      <c r="F186" s="36">
        <v>0.0</v>
      </c>
      <c r="G186" s="36">
        <v>-0.14</v>
      </c>
      <c r="H186" s="36">
        <v>-0.02</v>
      </c>
      <c r="I186" s="36">
        <v>0.25</v>
      </c>
    </row>
    <row r="187" ht="15.75" customHeight="1">
      <c r="A187" s="33" t="s">
        <v>120</v>
      </c>
      <c r="B187" s="37">
        <v>0.2</v>
      </c>
      <c r="C187" s="37">
        <v>0.15</v>
      </c>
      <c r="D187" s="37">
        <v>0.1</v>
      </c>
      <c r="E187" s="37">
        <v>0.09</v>
      </c>
      <c r="F187" s="37">
        <v>0.11</v>
      </c>
      <c r="G187" s="37">
        <v>-0.01</v>
      </c>
      <c r="H187" s="37">
        <v>0.17</v>
      </c>
      <c r="I187" s="37">
        <v>0.12</v>
      </c>
    </row>
    <row r="188" ht="15.75" customHeight="1">
      <c r="A188" s="35" t="s">
        <v>117</v>
      </c>
      <c r="B188" s="36">
        <v>0.24</v>
      </c>
      <c r="C188" s="36">
        <v>0.16</v>
      </c>
      <c r="D188" s="36">
        <v>0.08</v>
      </c>
      <c r="E188" s="36">
        <v>0.06</v>
      </c>
      <c r="F188" s="36">
        <v>0.12</v>
      </c>
      <c r="G188" s="36">
        <v>-0.03</v>
      </c>
      <c r="H188" s="36">
        <v>0.19</v>
      </c>
      <c r="I188" s="36">
        <v>0.09</v>
      </c>
    </row>
    <row r="189" ht="15.75" customHeight="1">
      <c r="A189" s="35" t="s">
        <v>118</v>
      </c>
      <c r="B189" s="36">
        <v>0.12</v>
      </c>
      <c r="C189" s="36">
        <v>0.14</v>
      </c>
      <c r="D189" s="36">
        <v>0.17</v>
      </c>
      <c r="E189" s="36">
        <v>0.16</v>
      </c>
      <c r="F189" s="36">
        <v>0.09</v>
      </c>
      <c r="G189" s="36">
        <v>0.02</v>
      </c>
      <c r="H189" s="36">
        <v>0.25</v>
      </c>
      <c r="I189" s="36">
        <v>0.16</v>
      </c>
    </row>
    <row r="190" ht="15.75" customHeight="1">
      <c r="A190" s="35" t="s">
        <v>119</v>
      </c>
      <c r="B190" s="36">
        <v>0.15</v>
      </c>
      <c r="C190" s="36">
        <v>0.08</v>
      </c>
      <c r="D190" s="36">
        <v>0.07</v>
      </c>
      <c r="E190" s="36">
        <v>0.06</v>
      </c>
      <c r="F190" s="36">
        <v>0.05</v>
      </c>
      <c r="G190" s="36">
        <v>-0.03</v>
      </c>
      <c r="H190" s="36">
        <v>0.19</v>
      </c>
      <c r="I190" s="36">
        <v>0.17</v>
      </c>
    </row>
    <row r="191" ht="15.75" customHeight="1">
      <c r="A191" s="33" t="s">
        <v>121</v>
      </c>
      <c r="B191" s="37">
        <v>0.19</v>
      </c>
      <c r="C191" s="37">
        <v>0.27</v>
      </c>
      <c r="D191" s="37">
        <v>0.17</v>
      </c>
      <c r="E191" s="37">
        <v>0.18</v>
      </c>
      <c r="F191" s="37">
        <v>0.24</v>
      </c>
      <c r="G191" s="37">
        <v>0.11</v>
      </c>
      <c r="H191" s="37">
        <v>0.19</v>
      </c>
      <c r="I191" s="37">
        <v>-0.13</v>
      </c>
    </row>
    <row r="192" ht="15.75" customHeight="1">
      <c r="A192" s="35" t="s">
        <v>117</v>
      </c>
      <c r="B192" s="36">
        <v>0.28</v>
      </c>
      <c r="C192" s="36">
        <v>0.33</v>
      </c>
      <c r="D192" s="36">
        <v>0.18</v>
      </c>
      <c r="E192" s="36">
        <v>0.16</v>
      </c>
      <c r="F192" s="36">
        <v>0.25</v>
      </c>
      <c r="G192" s="36">
        <v>0.12</v>
      </c>
      <c r="H192" s="36">
        <v>0.19</v>
      </c>
      <c r="I192" s="36">
        <v>-0.1</v>
      </c>
    </row>
    <row r="193" ht="15.75" customHeight="1">
      <c r="A193" s="35" t="s">
        <v>118</v>
      </c>
      <c r="B193" s="36">
        <v>0.07</v>
      </c>
      <c r="C193" s="36">
        <v>0.17</v>
      </c>
      <c r="D193" s="36">
        <v>0.18</v>
      </c>
      <c r="E193" s="36">
        <v>0.23</v>
      </c>
      <c r="F193" s="36">
        <v>0.23</v>
      </c>
      <c r="G193" s="36">
        <v>0.08</v>
      </c>
      <c r="H193" s="36">
        <v>0.19</v>
      </c>
      <c r="I193" s="36">
        <v>-0.21</v>
      </c>
    </row>
    <row r="194" ht="15.75" customHeight="1">
      <c r="A194" s="35" t="s">
        <v>119</v>
      </c>
      <c r="B194" s="36">
        <v>0.01</v>
      </c>
      <c r="C194" s="36">
        <v>0.07</v>
      </c>
      <c r="D194" s="36">
        <v>0.03</v>
      </c>
      <c r="E194" s="36">
        <v>-0.01</v>
      </c>
      <c r="F194" s="36">
        <v>0.08</v>
      </c>
      <c r="G194" s="36">
        <v>0.11</v>
      </c>
      <c r="H194" s="36">
        <v>0.26</v>
      </c>
      <c r="I194" s="36">
        <v>-0.06</v>
      </c>
    </row>
    <row r="195" ht="15.75" customHeight="1">
      <c r="A195" s="33" t="s">
        <v>122</v>
      </c>
      <c r="B195" s="37">
        <v>0.08</v>
      </c>
      <c r="C195" s="37">
        <v>0.15</v>
      </c>
      <c r="D195" s="37">
        <v>0.13</v>
      </c>
      <c r="E195" s="37">
        <v>0.1</v>
      </c>
      <c r="F195" s="37">
        <v>0.13</v>
      </c>
      <c r="G195" s="37">
        <v>0.01</v>
      </c>
      <c r="H195" s="37">
        <v>0.08</v>
      </c>
      <c r="I195" s="37">
        <v>0.16</v>
      </c>
    </row>
    <row r="196" ht="15.75" customHeight="1">
      <c r="A196" s="35" t="s">
        <v>117</v>
      </c>
      <c r="B196" s="36">
        <v>0.12</v>
      </c>
      <c r="C196" s="36">
        <v>0.19</v>
      </c>
      <c r="D196" s="36">
        <v>0.16</v>
      </c>
      <c r="E196" s="36">
        <v>0.09</v>
      </c>
      <c r="F196" s="36">
        <v>0.12</v>
      </c>
      <c r="G196" s="36">
        <v>0.0</v>
      </c>
      <c r="H196" s="36">
        <v>0.08</v>
      </c>
      <c r="I196" s="36">
        <v>0.17</v>
      </c>
    </row>
    <row r="197" ht="15.75" customHeight="1">
      <c r="A197" s="35" t="s">
        <v>118</v>
      </c>
      <c r="B197" s="36">
        <v>0.08</v>
      </c>
      <c r="C197" s="36">
        <v>0.1</v>
      </c>
      <c r="D197" s="36">
        <v>0.09</v>
      </c>
      <c r="E197" s="36">
        <v>0.15</v>
      </c>
      <c r="F197" s="36">
        <v>0.15</v>
      </c>
      <c r="G197" s="36">
        <v>0.03</v>
      </c>
      <c r="H197" s="36">
        <v>0.1</v>
      </c>
      <c r="I197" s="36">
        <v>0.12</v>
      </c>
    </row>
    <row r="198" ht="15.75" customHeight="1">
      <c r="A198" s="35" t="s">
        <v>119</v>
      </c>
      <c r="B198" s="36">
        <v>0.03</v>
      </c>
      <c r="C198" s="36">
        <v>0.09</v>
      </c>
      <c r="D198" s="36">
        <v>-0.01</v>
      </c>
      <c r="E198" s="36">
        <v>-0.08</v>
      </c>
      <c r="F198" s="36">
        <v>0.08</v>
      </c>
      <c r="G198" s="36">
        <v>-0.04</v>
      </c>
      <c r="H198" s="36">
        <v>-0.09</v>
      </c>
      <c r="I198" s="36">
        <v>0.28</v>
      </c>
    </row>
    <row r="199" ht="15.75" customHeight="1">
      <c r="A199" s="33" t="s">
        <v>123</v>
      </c>
      <c r="B199" s="34">
        <v>-0.02</v>
      </c>
      <c r="C199" s="34">
        <v>-0.37</v>
      </c>
      <c r="D199" s="34">
        <v>0.02</v>
      </c>
      <c r="E199" s="34">
        <v>0.12</v>
      </c>
      <c r="F199" s="34">
        <v>0.53</v>
      </c>
      <c r="G199" s="34">
        <v>-0.26</v>
      </c>
      <c r="H199" s="34">
        <v>-0.17</v>
      </c>
      <c r="I199" s="34">
        <v>3.02</v>
      </c>
    </row>
    <row r="200" ht="15.75" customHeight="1">
      <c r="A200" s="38" t="s">
        <v>124</v>
      </c>
      <c r="B200" s="39">
        <v>0.14</v>
      </c>
      <c r="C200" s="39">
        <v>0.13</v>
      </c>
      <c r="D200" s="39">
        <v>0.08</v>
      </c>
      <c r="E200" s="39">
        <v>0.05</v>
      </c>
      <c r="F200" s="39">
        <v>0.11</v>
      </c>
      <c r="G200" s="39">
        <v>-0.04</v>
      </c>
      <c r="H200" s="39">
        <v>0.17</v>
      </c>
      <c r="I200" s="37">
        <v>0.06</v>
      </c>
    </row>
    <row r="201" ht="15.75" customHeight="1">
      <c r="A201" s="33" t="s">
        <v>125</v>
      </c>
      <c r="B201" s="34">
        <v>0.21</v>
      </c>
      <c r="C201" s="34">
        <v>0.02</v>
      </c>
      <c r="D201" s="34">
        <v>0.06</v>
      </c>
      <c r="E201" s="34">
        <v>-0.11</v>
      </c>
      <c r="F201" s="34">
        <v>0.03</v>
      </c>
      <c r="G201" s="34">
        <v>-0.01</v>
      </c>
      <c r="H201" s="34">
        <v>0.16</v>
      </c>
      <c r="I201" s="34">
        <v>0.07</v>
      </c>
    </row>
    <row r="202" ht="15.75" customHeight="1">
      <c r="A202" s="35" t="s">
        <v>117</v>
      </c>
      <c r="B202" s="29" t="s">
        <v>94</v>
      </c>
      <c r="C202" s="29" t="s">
        <v>94</v>
      </c>
      <c r="D202" s="29" t="s">
        <v>94</v>
      </c>
      <c r="E202" s="29" t="s">
        <v>94</v>
      </c>
      <c r="F202" s="34">
        <v>0.05</v>
      </c>
      <c r="G202" s="34">
        <v>0.01</v>
      </c>
      <c r="H202" s="36">
        <v>0.17</v>
      </c>
      <c r="I202" s="36">
        <v>0.06</v>
      </c>
    </row>
    <row r="203" ht="15.75" customHeight="1">
      <c r="A203" s="35" t="s">
        <v>118</v>
      </c>
      <c r="B203" s="29" t="s">
        <v>94</v>
      </c>
      <c r="C203" s="29" t="s">
        <v>94</v>
      </c>
      <c r="D203" s="29" t="s">
        <v>94</v>
      </c>
      <c r="E203" s="29" t="s">
        <v>94</v>
      </c>
      <c r="F203" s="36">
        <v>-0.17</v>
      </c>
      <c r="G203" s="36">
        <v>-0.22</v>
      </c>
      <c r="H203" s="36">
        <v>0.13</v>
      </c>
      <c r="I203" s="36">
        <v>-0.03</v>
      </c>
    </row>
    <row r="204" ht="15.75" customHeight="1">
      <c r="A204" s="35" t="s">
        <v>119</v>
      </c>
      <c r="B204" s="29" t="s">
        <v>94</v>
      </c>
      <c r="C204" s="29" t="s">
        <v>94</v>
      </c>
      <c r="D204" s="29" t="s">
        <v>94</v>
      </c>
      <c r="E204" s="29" t="s">
        <v>94</v>
      </c>
      <c r="F204" s="36">
        <v>-0.13</v>
      </c>
      <c r="G204" s="36">
        <v>0.08</v>
      </c>
      <c r="H204" s="36">
        <v>0.14</v>
      </c>
      <c r="I204" s="36">
        <v>-0.16</v>
      </c>
    </row>
    <row r="205" ht="15.75" customHeight="1">
      <c r="A205" s="35" t="s">
        <v>126</v>
      </c>
      <c r="B205" s="29" t="s">
        <v>94</v>
      </c>
      <c r="C205" s="29" t="s">
        <v>94</v>
      </c>
      <c r="D205" s="29" t="s">
        <v>94</v>
      </c>
      <c r="E205" s="29" t="s">
        <v>94</v>
      </c>
      <c r="F205" s="36">
        <v>0.04</v>
      </c>
      <c r="G205" s="36">
        <v>-0.14</v>
      </c>
      <c r="H205" s="36">
        <v>-0.01</v>
      </c>
      <c r="I205" s="36">
        <v>0.42</v>
      </c>
    </row>
    <row r="206" ht="15.75" customHeight="1">
      <c r="A206" s="35" t="s">
        <v>127</v>
      </c>
      <c r="B206" s="36">
        <v>0.06</v>
      </c>
      <c r="C206" s="36">
        <v>0.07</v>
      </c>
      <c r="D206" s="40" t="s">
        <v>94</v>
      </c>
      <c r="E206" s="36">
        <v>-1.01</v>
      </c>
      <c r="F206" s="36">
        <v>0.24</v>
      </c>
      <c r="G206" s="36">
        <v>0.09</v>
      </c>
      <c r="H206" s="36">
        <v>0.15</v>
      </c>
      <c r="I206" s="36">
        <v>0.0</v>
      </c>
    </row>
    <row r="207" ht="15.75" customHeight="1">
      <c r="A207" s="41" t="s">
        <v>128</v>
      </c>
      <c r="B207" s="39">
        <v>0.14</v>
      </c>
      <c r="C207" s="39">
        <v>0.12</v>
      </c>
      <c r="D207" s="39">
        <v>0.08</v>
      </c>
      <c r="E207" s="39">
        <v>0.04</v>
      </c>
      <c r="F207" s="39">
        <v>0.11</v>
      </c>
      <c r="G207" s="39">
        <v>-0.04</v>
      </c>
      <c r="H207" s="39">
        <v>0.17</v>
      </c>
      <c r="I207" s="42">
        <v>0.06</v>
      </c>
    </row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8.71"/>
    <col customWidth="1" min="2" max="14" width="11.71"/>
    <col customWidth="1" min="15" max="26" width="8.57"/>
  </cols>
  <sheetData>
    <row r="1" ht="60.0" customHeight="1">
      <c r="A1" s="7" t="s">
        <v>143</v>
      </c>
      <c r="B1" s="8">
        <f t="shared" ref="B1:H1" si="1">+C1-1</f>
        <v>2015</v>
      </c>
      <c r="C1" s="8">
        <f t="shared" si="1"/>
        <v>2016</v>
      </c>
      <c r="D1" s="8">
        <f t="shared" si="1"/>
        <v>2017</v>
      </c>
      <c r="E1" s="8">
        <f t="shared" si="1"/>
        <v>2018</v>
      </c>
      <c r="F1" s="8">
        <f t="shared" si="1"/>
        <v>2019</v>
      </c>
      <c r="G1" s="8">
        <f t="shared" si="1"/>
        <v>2020</v>
      </c>
      <c r="H1" s="8">
        <f t="shared" si="1"/>
        <v>2021</v>
      </c>
      <c r="I1" s="8">
        <v>2022.0</v>
      </c>
      <c r="J1" s="43">
        <f t="shared" ref="J1:N1" si="2">+I1+1</f>
        <v>2023</v>
      </c>
      <c r="K1" s="43">
        <f t="shared" si="2"/>
        <v>2024</v>
      </c>
      <c r="L1" s="43">
        <f t="shared" si="2"/>
        <v>2025</v>
      </c>
      <c r="M1" s="43">
        <f t="shared" si="2"/>
        <v>2026</v>
      </c>
      <c r="N1" s="43">
        <f t="shared" si="2"/>
        <v>2027</v>
      </c>
    </row>
    <row r="2">
      <c r="A2" s="44" t="s">
        <v>144</v>
      </c>
      <c r="B2" s="44"/>
      <c r="C2" s="44"/>
      <c r="D2" s="44"/>
      <c r="E2" s="44"/>
      <c r="F2" s="44"/>
      <c r="G2" s="44"/>
      <c r="H2" s="44"/>
      <c r="I2" s="44"/>
      <c r="J2" s="43"/>
      <c r="K2" s="43"/>
      <c r="L2" s="43"/>
      <c r="M2" s="43"/>
      <c r="N2" s="43"/>
    </row>
    <row r="3">
      <c r="A3" s="12" t="s">
        <v>145</v>
      </c>
      <c r="B3" s="12">
        <f t="shared" ref="B3:N3" si="3">B21+B52+B83+B114+B145+B166+B201</f>
        <v>30601</v>
      </c>
      <c r="C3" s="12">
        <f t="shared" si="3"/>
        <v>32376</v>
      </c>
      <c r="D3" s="12">
        <f t="shared" si="3"/>
        <v>34350</v>
      </c>
      <c r="E3" s="12">
        <f t="shared" si="3"/>
        <v>36397</v>
      </c>
      <c r="F3" s="12">
        <f t="shared" si="3"/>
        <v>39117</v>
      </c>
      <c r="G3" s="12">
        <f t="shared" si="3"/>
        <v>37403</v>
      </c>
      <c r="H3" s="12">
        <f t="shared" si="3"/>
        <v>44538</v>
      </c>
      <c r="I3" s="12">
        <f t="shared" si="3"/>
        <v>46710</v>
      </c>
      <c r="J3" s="12">
        <f t="shared" si="3"/>
        <v>46710</v>
      </c>
      <c r="K3" s="12">
        <f t="shared" si="3"/>
        <v>46710</v>
      </c>
      <c r="L3" s="12">
        <f t="shared" si="3"/>
        <v>46710</v>
      </c>
      <c r="M3" s="12">
        <f t="shared" si="3"/>
        <v>46710</v>
      </c>
      <c r="N3" s="12">
        <f t="shared" si="3"/>
        <v>46710</v>
      </c>
    </row>
    <row r="4">
      <c r="A4" s="45" t="s">
        <v>146</v>
      </c>
      <c r="B4" s="46" t="str">
        <f t="shared" ref="B4:N4" si="4">+IFERROR(B3/A3-1,"nm")</f>
        <v>nm</v>
      </c>
      <c r="C4" s="46">
        <f t="shared" si="4"/>
        <v>0.05800464037</v>
      </c>
      <c r="D4" s="46">
        <f t="shared" si="4"/>
        <v>0.0609710897</v>
      </c>
      <c r="E4" s="46">
        <f t="shared" si="4"/>
        <v>0.05959243086</v>
      </c>
      <c r="F4" s="46">
        <f t="shared" si="4"/>
        <v>0.07473143391</v>
      </c>
      <c r="G4" s="46">
        <f t="shared" si="4"/>
        <v>-0.04381726615</v>
      </c>
      <c r="H4" s="46">
        <f t="shared" si="4"/>
        <v>0.1907600995</v>
      </c>
      <c r="I4" s="46">
        <f t="shared" si="4"/>
        <v>0.04876734474</v>
      </c>
      <c r="J4" s="46">
        <f t="shared" si="4"/>
        <v>0</v>
      </c>
      <c r="K4" s="46">
        <f t="shared" si="4"/>
        <v>0</v>
      </c>
      <c r="L4" s="46">
        <f t="shared" si="4"/>
        <v>0</v>
      </c>
      <c r="M4" s="46">
        <f t="shared" si="4"/>
        <v>0</v>
      </c>
      <c r="N4" s="46">
        <f t="shared" si="4"/>
        <v>0</v>
      </c>
    </row>
    <row r="5">
      <c r="A5" s="12" t="s">
        <v>147</v>
      </c>
      <c r="B5" s="12">
        <f t="shared" ref="B5:N5" si="5">B35+B66+B97+B128+B149+B184+B205</f>
        <v>4839</v>
      </c>
      <c r="C5" s="12">
        <f t="shared" si="5"/>
        <v>5291</v>
      </c>
      <c r="D5" s="12">
        <f t="shared" si="5"/>
        <v>5651</v>
      </c>
      <c r="E5" s="12">
        <f t="shared" si="5"/>
        <v>5126</v>
      </c>
      <c r="F5" s="12">
        <f t="shared" si="5"/>
        <v>5555</v>
      </c>
      <c r="G5" s="12">
        <f t="shared" si="5"/>
        <v>3697</v>
      </c>
      <c r="H5" s="12">
        <f t="shared" si="5"/>
        <v>7667</v>
      </c>
      <c r="I5" s="12">
        <f t="shared" si="5"/>
        <v>7573</v>
      </c>
      <c r="J5" s="47">
        <f t="shared" si="5"/>
        <v>7573</v>
      </c>
      <c r="K5" s="47">
        <f t="shared" si="5"/>
        <v>7573</v>
      </c>
      <c r="L5" s="47">
        <f t="shared" si="5"/>
        <v>7573</v>
      </c>
      <c r="M5" s="47">
        <f t="shared" si="5"/>
        <v>7573</v>
      </c>
      <c r="N5" s="47">
        <f t="shared" si="5"/>
        <v>7573</v>
      </c>
    </row>
    <row r="6">
      <c r="A6" s="45" t="s">
        <v>146</v>
      </c>
      <c r="B6" s="46" t="str">
        <f t="shared" ref="B6:N6" si="6">+IFERROR(B5/A5-1,"nm")</f>
        <v>nm</v>
      </c>
      <c r="C6" s="46">
        <f t="shared" si="6"/>
        <v>0.09340772887</v>
      </c>
      <c r="D6" s="46">
        <f t="shared" si="6"/>
        <v>0.06804006804</v>
      </c>
      <c r="E6" s="46">
        <f t="shared" si="6"/>
        <v>-0.09290391081</v>
      </c>
      <c r="F6" s="46">
        <f t="shared" si="6"/>
        <v>0.08369098712</v>
      </c>
      <c r="G6" s="46">
        <f t="shared" si="6"/>
        <v>-0.3344734473</v>
      </c>
      <c r="H6" s="46">
        <f t="shared" si="6"/>
        <v>1.073843657</v>
      </c>
      <c r="I6" s="46">
        <f t="shared" si="6"/>
        <v>-0.01226033651</v>
      </c>
      <c r="J6" s="46">
        <f t="shared" si="6"/>
        <v>0</v>
      </c>
      <c r="K6" s="46">
        <f t="shared" si="6"/>
        <v>0</v>
      </c>
      <c r="L6" s="46">
        <f t="shared" si="6"/>
        <v>0</v>
      </c>
      <c r="M6" s="46">
        <f t="shared" si="6"/>
        <v>0</v>
      </c>
      <c r="N6" s="46">
        <f t="shared" si="6"/>
        <v>0</v>
      </c>
    </row>
    <row r="7">
      <c r="A7" s="45" t="s">
        <v>148</v>
      </c>
      <c r="B7" s="46">
        <f t="shared" ref="B7:N7" si="7">+IFERROR(B5/B$3,"nm")</f>
        <v>0.1581320872</v>
      </c>
      <c r="C7" s="46">
        <f t="shared" si="7"/>
        <v>0.1634235236</v>
      </c>
      <c r="D7" s="46">
        <f t="shared" si="7"/>
        <v>0.1645123726</v>
      </c>
      <c r="E7" s="46">
        <f t="shared" si="7"/>
        <v>0.1408357832</v>
      </c>
      <c r="F7" s="46">
        <f t="shared" si="7"/>
        <v>0.1420098678</v>
      </c>
      <c r="G7" s="46">
        <f t="shared" si="7"/>
        <v>0.09884233885</v>
      </c>
      <c r="H7" s="46">
        <f t="shared" si="7"/>
        <v>0.1721451345</v>
      </c>
      <c r="I7" s="46">
        <f t="shared" si="7"/>
        <v>0.162128024</v>
      </c>
      <c r="J7" s="46">
        <f t="shared" si="7"/>
        <v>0.162128024</v>
      </c>
      <c r="K7" s="46">
        <f t="shared" si="7"/>
        <v>0.162128024</v>
      </c>
      <c r="L7" s="46">
        <f t="shared" si="7"/>
        <v>0.162128024</v>
      </c>
      <c r="M7" s="46">
        <f t="shared" si="7"/>
        <v>0.162128024</v>
      </c>
      <c r="N7" s="46">
        <f t="shared" si="7"/>
        <v>0.162128024</v>
      </c>
    </row>
    <row r="8">
      <c r="A8" s="12" t="s">
        <v>149</v>
      </c>
      <c r="B8" s="12">
        <f t="shared" ref="B8:N8" si="8">B38+B69+B100+B131+B152+B187+B208</f>
        <v>606</v>
      </c>
      <c r="C8" s="12">
        <f t="shared" si="8"/>
        <v>649</v>
      </c>
      <c r="D8" s="12">
        <f t="shared" si="8"/>
        <v>706</v>
      </c>
      <c r="E8" s="12">
        <f t="shared" si="8"/>
        <v>747</v>
      </c>
      <c r="F8" s="12">
        <f t="shared" si="8"/>
        <v>705</v>
      </c>
      <c r="G8" s="12">
        <f t="shared" si="8"/>
        <v>721</v>
      </c>
      <c r="H8" s="12">
        <f t="shared" si="8"/>
        <v>744</v>
      </c>
      <c r="I8" s="12">
        <f t="shared" si="8"/>
        <v>717</v>
      </c>
      <c r="J8" s="47">
        <f t="shared" si="8"/>
        <v>717</v>
      </c>
      <c r="K8" s="47">
        <f t="shared" si="8"/>
        <v>717</v>
      </c>
      <c r="L8" s="47">
        <f t="shared" si="8"/>
        <v>717</v>
      </c>
      <c r="M8" s="47">
        <f t="shared" si="8"/>
        <v>717</v>
      </c>
      <c r="N8" s="47">
        <f t="shared" si="8"/>
        <v>717</v>
      </c>
    </row>
    <row r="9">
      <c r="A9" s="45" t="s">
        <v>146</v>
      </c>
      <c r="B9" s="46" t="str">
        <f t="shared" ref="B9:N9" si="9">+IFERROR(B8/A8-1,"nm")</f>
        <v>nm</v>
      </c>
      <c r="C9" s="46">
        <f t="shared" si="9"/>
        <v>0.07095709571</v>
      </c>
      <c r="D9" s="46">
        <f t="shared" si="9"/>
        <v>0.08782742681</v>
      </c>
      <c r="E9" s="46">
        <f t="shared" si="9"/>
        <v>0.05807365439</v>
      </c>
      <c r="F9" s="46">
        <f t="shared" si="9"/>
        <v>-0.0562248996</v>
      </c>
      <c r="G9" s="46">
        <f t="shared" si="9"/>
        <v>0.02269503546</v>
      </c>
      <c r="H9" s="46">
        <f t="shared" si="9"/>
        <v>0.0319001387</v>
      </c>
      <c r="I9" s="46">
        <f t="shared" si="9"/>
        <v>-0.03629032258</v>
      </c>
      <c r="J9" s="46">
        <f t="shared" si="9"/>
        <v>0</v>
      </c>
      <c r="K9" s="46">
        <f t="shared" si="9"/>
        <v>0</v>
      </c>
      <c r="L9" s="46">
        <f t="shared" si="9"/>
        <v>0</v>
      </c>
      <c r="M9" s="46">
        <f t="shared" si="9"/>
        <v>0</v>
      </c>
      <c r="N9" s="46">
        <f t="shared" si="9"/>
        <v>0</v>
      </c>
    </row>
    <row r="10">
      <c r="A10" s="45" t="s">
        <v>150</v>
      </c>
      <c r="B10" s="46">
        <f t="shared" ref="B10:N10" si="10">+IFERROR(B8/B$3,"nm")</f>
        <v>0.0198032744</v>
      </c>
      <c r="C10" s="46">
        <f t="shared" si="10"/>
        <v>0.02004571287</v>
      </c>
      <c r="D10" s="46">
        <f t="shared" si="10"/>
        <v>0.02055312955</v>
      </c>
      <c r="E10" s="46">
        <f t="shared" si="10"/>
        <v>0.02052366953</v>
      </c>
      <c r="F10" s="46">
        <f t="shared" si="10"/>
        <v>0.01802285451</v>
      </c>
      <c r="G10" s="46">
        <f t="shared" si="10"/>
        <v>0.01927652862</v>
      </c>
      <c r="H10" s="46">
        <f t="shared" si="10"/>
        <v>0.01670483632</v>
      </c>
      <c r="I10" s="46">
        <f t="shared" si="10"/>
        <v>0.01535003211</v>
      </c>
      <c r="J10" s="46">
        <f t="shared" si="10"/>
        <v>0.01535003211</v>
      </c>
      <c r="K10" s="46">
        <f t="shared" si="10"/>
        <v>0.01535003211</v>
      </c>
      <c r="L10" s="46">
        <f t="shared" si="10"/>
        <v>0.01535003211</v>
      </c>
      <c r="M10" s="46">
        <f t="shared" si="10"/>
        <v>0.01535003211</v>
      </c>
      <c r="N10" s="46">
        <f t="shared" si="10"/>
        <v>0.01535003211</v>
      </c>
    </row>
    <row r="11">
      <c r="A11" s="12" t="s">
        <v>151</v>
      </c>
      <c r="B11" s="12">
        <f t="shared" ref="B11:N11" si="11">B42+B73+B104+B135+B156+B191+B212</f>
        <v>4233</v>
      </c>
      <c r="C11" s="12">
        <f t="shared" si="11"/>
        <v>4642</v>
      </c>
      <c r="D11" s="12">
        <f t="shared" si="11"/>
        <v>4945</v>
      </c>
      <c r="E11" s="12">
        <f t="shared" si="11"/>
        <v>4379</v>
      </c>
      <c r="F11" s="12">
        <f t="shared" si="11"/>
        <v>4850</v>
      </c>
      <c r="G11" s="12">
        <f t="shared" si="11"/>
        <v>2976</v>
      </c>
      <c r="H11" s="12">
        <f t="shared" si="11"/>
        <v>6923</v>
      </c>
      <c r="I11" s="12">
        <f t="shared" si="11"/>
        <v>6856</v>
      </c>
      <c r="J11" s="47">
        <f t="shared" si="11"/>
        <v>6856</v>
      </c>
      <c r="K11" s="47">
        <f t="shared" si="11"/>
        <v>6856</v>
      </c>
      <c r="L11" s="47">
        <f t="shared" si="11"/>
        <v>6856</v>
      </c>
      <c r="M11" s="47">
        <f t="shared" si="11"/>
        <v>6856</v>
      </c>
      <c r="N11" s="47">
        <f t="shared" si="11"/>
        <v>6856</v>
      </c>
    </row>
    <row r="12">
      <c r="A12" s="45" t="s">
        <v>146</v>
      </c>
      <c r="B12" s="46" t="str">
        <f t="shared" ref="B12:N12" si="12">+IFERROR(B11/A11-1,"nm")</f>
        <v>nm</v>
      </c>
      <c r="C12" s="46">
        <f t="shared" si="12"/>
        <v>0.09662178124</v>
      </c>
      <c r="D12" s="46">
        <f t="shared" si="12"/>
        <v>0.06527358897</v>
      </c>
      <c r="E12" s="46">
        <f t="shared" si="12"/>
        <v>-0.1144590495</v>
      </c>
      <c r="F12" s="46">
        <f t="shared" si="12"/>
        <v>0.1075588034</v>
      </c>
      <c r="G12" s="46">
        <f t="shared" si="12"/>
        <v>-0.3863917526</v>
      </c>
      <c r="H12" s="46">
        <f t="shared" si="12"/>
        <v>1.326276882</v>
      </c>
      <c r="I12" s="46">
        <f t="shared" si="12"/>
        <v>-0.00967788531</v>
      </c>
      <c r="J12" s="46">
        <f t="shared" si="12"/>
        <v>0</v>
      </c>
      <c r="K12" s="46">
        <f t="shared" si="12"/>
        <v>0</v>
      </c>
      <c r="L12" s="46">
        <f t="shared" si="12"/>
        <v>0</v>
      </c>
      <c r="M12" s="46">
        <f t="shared" si="12"/>
        <v>0</v>
      </c>
      <c r="N12" s="46">
        <f t="shared" si="12"/>
        <v>0</v>
      </c>
    </row>
    <row r="13">
      <c r="A13" s="45" t="s">
        <v>148</v>
      </c>
      <c r="B13" s="46">
        <f t="shared" ref="B13:N13" si="13">+IFERROR(B11/B$3,"nm")</f>
        <v>0.1383288128</v>
      </c>
      <c r="C13" s="46">
        <f t="shared" si="13"/>
        <v>0.1433778107</v>
      </c>
      <c r="D13" s="46">
        <f t="shared" si="13"/>
        <v>0.1439592431</v>
      </c>
      <c r="E13" s="46">
        <f t="shared" si="13"/>
        <v>0.1203121136</v>
      </c>
      <c r="F13" s="46">
        <f t="shared" si="13"/>
        <v>0.1239870133</v>
      </c>
      <c r="G13" s="46">
        <f t="shared" si="13"/>
        <v>0.07956581023</v>
      </c>
      <c r="H13" s="46">
        <f t="shared" si="13"/>
        <v>0.1554402982</v>
      </c>
      <c r="I13" s="46">
        <f t="shared" si="13"/>
        <v>0.1467779919</v>
      </c>
      <c r="J13" s="46">
        <f t="shared" si="13"/>
        <v>0.1467779919</v>
      </c>
      <c r="K13" s="46">
        <f t="shared" si="13"/>
        <v>0.1467779919</v>
      </c>
      <c r="L13" s="46">
        <f t="shared" si="13"/>
        <v>0.1467779919</v>
      </c>
      <c r="M13" s="46">
        <f t="shared" si="13"/>
        <v>0.1467779919</v>
      </c>
      <c r="N13" s="46">
        <f t="shared" si="13"/>
        <v>0.1467779919</v>
      </c>
    </row>
    <row r="14">
      <c r="A14" s="12" t="s">
        <v>152</v>
      </c>
      <c r="B14" s="12">
        <f t="shared" ref="B14:I14" si="14">B45+B76+B107+B138+B159+B194+B215+B224</f>
        <v>963</v>
      </c>
      <c r="C14" s="12">
        <f t="shared" si="14"/>
        <v>1143</v>
      </c>
      <c r="D14" s="12">
        <f t="shared" si="14"/>
        <v>1105</v>
      </c>
      <c r="E14" s="12">
        <f t="shared" si="14"/>
        <v>1028</v>
      </c>
      <c r="F14" s="12">
        <f t="shared" si="14"/>
        <v>1119</v>
      </c>
      <c r="G14" s="12">
        <f t="shared" si="14"/>
        <v>1086</v>
      </c>
      <c r="H14" s="12">
        <f t="shared" si="14"/>
        <v>695</v>
      </c>
      <c r="I14" s="12">
        <f t="shared" si="14"/>
        <v>758</v>
      </c>
      <c r="J14" s="47">
        <f t="shared" ref="J14:N14" si="15">J45+J76+J107+J138+J159+J194+J215</f>
        <v>758</v>
      </c>
      <c r="K14" s="47">
        <f t="shared" si="15"/>
        <v>758</v>
      </c>
      <c r="L14" s="47">
        <f t="shared" si="15"/>
        <v>758</v>
      </c>
      <c r="M14" s="47">
        <f t="shared" si="15"/>
        <v>758</v>
      </c>
      <c r="N14" s="47">
        <f t="shared" si="15"/>
        <v>758</v>
      </c>
    </row>
    <row r="15">
      <c r="A15" s="45" t="s">
        <v>146</v>
      </c>
      <c r="B15" s="46" t="str">
        <f t="shared" ref="B15:N15" si="16">+IFERROR(B14/A14-1,"nm")</f>
        <v>nm</v>
      </c>
      <c r="C15" s="46">
        <f t="shared" si="16"/>
        <v>0.1869158879</v>
      </c>
      <c r="D15" s="46">
        <f t="shared" si="16"/>
        <v>-0.03324584427</v>
      </c>
      <c r="E15" s="46">
        <f t="shared" si="16"/>
        <v>-0.06968325792</v>
      </c>
      <c r="F15" s="46">
        <f t="shared" si="16"/>
        <v>0.08852140078</v>
      </c>
      <c r="G15" s="46">
        <f t="shared" si="16"/>
        <v>-0.02949061662</v>
      </c>
      <c r="H15" s="46">
        <f t="shared" si="16"/>
        <v>-0.3600368324</v>
      </c>
      <c r="I15" s="46">
        <f t="shared" si="16"/>
        <v>0.09064748201</v>
      </c>
      <c r="J15" s="46">
        <f t="shared" si="16"/>
        <v>0</v>
      </c>
      <c r="K15" s="46">
        <f t="shared" si="16"/>
        <v>0</v>
      </c>
      <c r="L15" s="46">
        <f t="shared" si="16"/>
        <v>0</v>
      </c>
      <c r="M15" s="46">
        <f t="shared" si="16"/>
        <v>0</v>
      </c>
      <c r="N15" s="46">
        <f t="shared" si="16"/>
        <v>0</v>
      </c>
    </row>
    <row r="16">
      <c r="A16" s="45" t="s">
        <v>150</v>
      </c>
      <c r="B16" s="46">
        <f t="shared" ref="B16:N16" si="17">+IFERROR(B14/B$3,"nm")</f>
        <v>0.03146955982</v>
      </c>
      <c r="C16" s="46">
        <f t="shared" si="17"/>
        <v>0.03530392884</v>
      </c>
      <c r="D16" s="46">
        <f t="shared" si="17"/>
        <v>0.03216885007</v>
      </c>
      <c r="E16" s="46">
        <f t="shared" si="17"/>
        <v>0.02824408605</v>
      </c>
      <c r="F16" s="46">
        <f t="shared" si="17"/>
        <v>0.02860648823</v>
      </c>
      <c r="G16" s="46">
        <f t="shared" si="17"/>
        <v>0.02903510414</v>
      </c>
      <c r="H16" s="46">
        <f t="shared" si="17"/>
        <v>0.01560465221</v>
      </c>
      <c r="I16" s="46">
        <f t="shared" si="17"/>
        <v>0.01622778848</v>
      </c>
      <c r="J16" s="46">
        <f t="shared" si="17"/>
        <v>0.01622778848</v>
      </c>
      <c r="K16" s="46">
        <f t="shared" si="17"/>
        <v>0.01622778848</v>
      </c>
      <c r="L16" s="46">
        <f t="shared" si="17"/>
        <v>0.01622778848</v>
      </c>
      <c r="M16" s="46">
        <f t="shared" si="17"/>
        <v>0.01622778848</v>
      </c>
      <c r="N16" s="46">
        <f t="shared" si="17"/>
        <v>0.01622778848</v>
      </c>
    </row>
    <row r="17">
      <c r="A17" s="12" t="s">
        <v>153</v>
      </c>
      <c r="B17" s="12">
        <f t="shared" ref="B17:N17" si="18">B48+B79+B110+B141+B162+B197+B218</f>
        <v>2825</v>
      </c>
      <c r="C17" s="12">
        <f t="shared" si="18"/>
        <v>3313</v>
      </c>
      <c r="D17" s="12">
        <f t="shared" si="18"/>
        <v>3774</v>
      </c>
      <c r="E17" s="12">
        <f t="shared" si="18"/>
        <v>4230</v>
      </c>
      <c r="F17" s="12">
        <f t="shared" si="18"/>
        <v>4518</v>
      </c>
      <c r="G17" s="12">
        <f t="shared" si="18"/>
        <v>4650</v>
      </c>
      <c r="H17" s="12">
        <f t="shared" si="18"/>
        <v>4663</v>
      </c>
      <c r="I17" s="12">
        <f t="shared" si="18"/>
        <v>4566</v>
      </c>
      <c r="J17" s="47">
        <f t="shared" si="18"/>
        <v>4566</v>
      </c>
      <c r="K17" s="47">
        <f t="shared" si="18"/>
        <v>4566</v>
      </c>
      <c r="L17" s="47">
        <f t="shared" si="18"/>
        <v>4566</v>
      </c>
      <c r="M17" s="47">
        <f t="shared" si="18"/>
        <v>4566</v>
      </c>
      <c r="N17" s="47">
        <f t="shared" si="18"/>
        <v>4566</v>
      </c>
    </row>
    <row r="18">
      <c r="A18" s="45" t="s">
        <v>146</v>
      </c>
      <c r="B18" s="46" t="str">
        <f t="shared" ref="B18:N18" si="19">+IFERROR(B17/A17-1,"nm")</f>
        <v>nm</v>
      </c>
      <c r="C18" s="46">
        <f t="shared" si="19"/>
        <v>0.1727433628</v>
      </c>
      <c r="D18" s="46">
        <f t="shared" si="19"/>
        <v>0.1391488077</v>
      </c>
      <c r="E18" s="46">
        <f t="shared" si="19"/>
        <v>0.1208267091</v>
      </c>
      <c r="F18" s="46">
        <f t="shared" si="19"/>
        <v>0.06808510638</v>
      </c>
      <c r="G18" s="46">
        <f t="shared" si="19"/>
        <v>0.02921646746</v>
      </c>
      <c r="H18" s="46">
        <f t="shared" si="19"/>
        <v>0.002795698925</v>
      </c>
      <c r="I18" s="46">
        <f t="shared" si="19"/>
        <v>-0.02080205876</v>
      </c>
      <c r="J18" s="46">
        <f t="shared" si="19"/>
        <v>0</v>
      </c>
      <c r="K18" s="46">
        <f t="shared" si="19"/>
        <v>0</v>
      </c>
      <c r="L18" s="46">
        <f t="shared" si="19"/>
        <v>0</v>
      </c>
      <c r="M18" s="46">
        <f t="shared" si="19"/>
        <v>0</v>
      </c>
      <c r="N18" s="46">
        <f t="shared" si="19"/>
        <v>0</v>
      </c>
    </row>
    <row r="19">
      <c r="A19" s="45" t="s">
        <v>150</v>
      </c>
      <c r="B19" s="46">
        <f t="shared" ref="B19:N19" si="20">+IFERROR(B17/B$3,"nm")</f>
        <v>0.09231724453</v>
      </c>
      <c r="C19" s="46">
        <f t="shared" si="20"/>
        <v>0.1023288856</v>
      </c>
      <c r="D19" s="46">
        <f t="shared" si="20"/>
        <v>0.1098689956</v>
      </c>
      <c r="E19" s="46">
        <f t="shared" si="20"/>
        <v>0.1162183696</v>
      </c>
      <c r="F19" s="46">
        <f t="shared" si="20"/>
        <v>0.1154996549</v>
      </c>
      <c r="G19" s="46">
        <f t="shared" si="20"/>
        <v>0.1243215785</v>
      </c>
      <c r="H19" s="46">
        <f t="shared" si="20"/>
        <v>0.1046971126</v>
      </c>
      <c r="I19" s="46">
        <f t="shared" si="20"/>
        <v>0.09775208735</v>
      </c>
      <c r="J19" s="46">
        <f t="shared" si="20"/>
        <v>0.09775208735</v>
      </c>
      <c r="K19" s="46">
        <f t="shared" si="20"/>
        <v>0.09775208735</v>
      </c>
      <c r="L19" s="46">
        <f t="shared" si="20"/>
        <v>0.09775208735</v>
      </c>
      <c r="M19" s="46">
        <f t="shared" si="20"/>
        <v>0.09775208735</v>
      </c>
      <c r="N19" s="46">
        <f t="shared" si="20"/>
        <v>0.09775208735</v>
      </c>
    </row>
    <row r="20">
      <c r="A20" s="48" t="str">
        <f>+Historicals!A110</f>
        <v>North America</v>
      </c>
      <c r="B20" s="49"/>
      <c r="C20" s="49"/>
      <c r="D20" s="49"/>
      <c r="E20" s="49"/>
      <c r="F20" s="49"/>
      <c r="G20" s="49"/>
      <c r="H20" s="49"/>
      <c r="I20" s="49"/>
      <c r="J20" s="43"/>
      <c r="K20" s="43"/>
      <c r="L20" s="43"/>
      <c r="M20" s="43"/>
      <c r="N20" s="43"/>
    </row>
    <row r="21" ht="15.75" customHeight="1">
      <c r="A21" s="12" t="s">
        <v>154</v>
      </c>
      <c r="B21" s="12">
        <f>+Historicals!B110</f>
        <v>13740</v>
      </c>
      <c r="C21" s="12">
        <f>+Historicals!C110</f>
        <v>14764</v>
      </c>
      <c r="D21" s="12">
        <f>+Historicals!D110</f>
        <v>15216</v>
      </c>
      <c r="E21" s="12">
        <f>+Historicals!E110</f>
        <v>14855</v>
      </c>
      <c r="F21" s="12">
        <f>+Historicals!F110</f>
        <v>15902</v>
      </c>
      <c r="G21" s="12">
        <f>+Historicals!G110</f>
        <v>14484</v>
      </c>
      <c r="H21" s="12">
        <f>+Historicals!H110</f>
        <v>17179</v>
      </c>
      <c r="I21" s="12">
        <f>+Historicals!I110</f>
        <v>18353</v>
      </c>
      <c r="J21" s="12">
        <f t="shared" ref="J21:N21" si="21">+SUM(J23+J27+J31)</f>
        <v>18353</v>
      </c>
      <c r="K21" s="12">
        <f t="shared" si="21"/>
        <v>18353</v>
      </c>
      <c r="L21" s="12">
        <f t="shared" si="21"/>
        <v>18353</v>
      </c>
      <c r="M21" s="12">
        <f t="shared" si="21"/>
        <v>18353</v>
      </c>
      <c r="N21" s="12">
        <f t="shared" si="21"/>
        <v>18353</v>
      </c>
    </row>
    <row r="22" ht="15.75" customHeight="1">
      <c r="A22" s="45" t="s">
        <v>146</v>
      </c>
      <c r="B22" s="46" t="str">
        <f t="shared" ref="B22:N22" si="22">+IFERROR(B21/A21-1,"nm")</f>
        <v>nm</v>
      </c>
      <c r="C22" s="46">
        <f t="shared" si="22"/>
        <v>0.07452692868</v>
      </c>
      <c r="D22" s="46">
        <f t="shared" si="22"/>
        <v>0.03061500948</v>
      </c>
      <c r="E22" s="46">
        <f t="shared" si="22"/>
        <v>-0.02372502629</v>
      </c>
      <c r="F22" s="46">
        <f t="shared" si="22"/>
        <v>0.07048131942</v>
      </c>
      <c r="G22" s="46">
        <f t="shared" si="22"/>
        <v>-0.08917117344</v>
      </c>
      <c r="H22" s="46">
        <f t="shared" si="22"/>
        <v>0.1860673847</v>
      </c>
      <c r="I22" s="46">
        <f t="shared" si="22"/>
        <v>0.06833925141</v>
      </c>
      <c r="J22" s="46">
        <f t="shared" si="22"/>
        <v>0</v>
      </c>
      <c r="K22" s="46">
        <f t="shared" si="22"/>
        <v>0</v>
      </c>
      <c r="L22" s="46">
        <f t="shared" si="22"/>
        <v>0</v>
      </c>
      <c r="M22" s="46">
        <f t="shared" si="22"/>
        <v>0</v>
      </c>
      <c r="N22" s="46">
        <f t="shared" si="22"/>
        <v>0</v>
      </c>
    </row>
    <row r="23" ht="15.75" customHeight="1">
      <c r="A23" s="50" t="s">
        <v>117</v>
      </c>
      <c r="B23" s="12">
        <f>+Historicals!B111</f>
        <v>8506</v>
      </c>
      <c r="C23" s="12">
        <f>+Historicals!C111</f>
        <v>9299</v>
      </c>
      <c r="D23" s="12">
        <f>+Historicals!D111</f>
        <v>9684</v>
      </c>
      <c r="E23" s="12">
        <f>+Historicals!E111</f>
        <v>9322</v>
      </c>
      <c r="F23" s="12">
        <f>+Historicals!F111</f>
        <v>10045</v>
      </c>
      <c r="G23" s="12">
        <f>+Historicals!G111</f>
        <v>9329</v>
      </c>
      <c r="H23" s="12">
        <f>+Historicals!H111</f>
        <v>11644</v>
      </c>
      <c r="I23" s="12">
        <f>+Historicals!I111</f>
        <v>12228</v>
      </c>
      <c r="J23" s="12">
        <f t="shared" ref="J23:N23" si="23">+I23*(1+J24)</f>
        <v>12228</v>
      </c>
      <c r="K23" s="12">
        <f t="shared" si="23"/>
        <v>12228</v>
      </c>
      <c r="L23" s="12">
        <f t="shared" si="23"/>
        <v>12228</v>
      </c>
      <c r="M23" s="12">
        <f t="shared" si="23"/>
        <v>12228</v>
      </c>
      <c r="N23" s="12">
        <f t="shared" si="23"/>
        <v>12228</v>
      </c>
    </row>
    <row r="24" ht="15.75" customHeight="1">
      <c r="A24" s="45" t="s">
        <v>146</v>
      </c>
      <c r="B24" s="46" t="str">
        <f t="shared" ref="B24:I24" si="24">+IFERROR(B23/A23-1,"nm")</f>
        <v>nm</v>
      </c>
      <c r="C24" s="46">
        <f t="shared" si="24"/>
        <v>0.09322830943</v>
      </c>
      <c r="D24" s="46">
        <f t="shared" si="24"/>
        <v>0.04140230132</v>
      </c>
      <c r="E24" s="46">
        <f t="shared" si="24"/>
        <v>-0.03738124742</v>
      </c>
      <c r="F24" s="46">
        <f t="shared" si="24"/>
        <v>0.07755846385</v>
      </c>
      <c r="G24" s="46">
        <f t="shared" si="24"/>
        <v>-0.0712792434</v>
      </c>
      <c r="H24" s="46">
        <f t="shared" si="24"/>
        <v>0.2481509272</v>
      </c>
      <c r="I24" s="46">
        <f t="shared" si="24"/>
        <v>0.05015458605</v>
      </c>
      <c r="J24" s="46">
        <f t="shared" ref="J24:N24" si="25">+J25+J26</f>
        <v>0</v>
      </c>
      <c r="K24" s="46">
        <f t="shared" si="25"/>
        <v>0</v>
      </c>
      <c r="L24" s="46">
        <f t="shared" si="25"/>
        <v>0</v>
      </c>
      <c r="M24" s="46">
        <f t="shared" si="25"/>
        <v>0</v>
      </c>
      <c r="N24" s="46">
        <f t="shared" si="25"/>
        <v>0</v>
      </c>
    </row>
    <row r="25" ht="15.75" customHeight="1">
      <c r="A25" s="45" t="s">
        <v>155</v>
      </c>
      <c r="B25" s="46">
        <f>+Historicals!B184</f>
        <v>0.12</v>
      </c>
      <c r="C25" s="46">
        <f>+Historicals!C184</f>
        <v>0.09</v>
      </c>
      <c r="D25" s="46">
        <f>+Historicals!D184</f>
        <v>0.04</v>
      </c>
      <c r="E25" s="46">
        <f>+Historicals!E184</f>
        <v>-0.04</v>
      </c>
      <c r="F25" s="46">
        <f>+Historicals!F184</f>
        <v>0.08</v>
      </c>
      <c r="G25" s="46">
        <f>+Historicals!G184</f>
        <v>-0.07</v>
      </c>
      <c r="H25" s="46">
        <f>+Historicals!H184</f>
        <v>0.25</v>
      </c>
      <c r="I25" s="46">
        <f>+Historicals!I184</f>
        <v>0.05</v>
      </c>
      <c r="J25" s="51">
        <v>0.0</v>
      </c>
      <c r="K25" s="51">
        <f t="shared" ref="K25:N25" si="26">+J25</f>
        <v>0</v>
      </c>
      <c r="L25" s="51">
        <f t="shared" si="26"/>
        <v>0</v>
      </c>
      <c r="M25" s="51">
        <f t="shared" si="26"/>
        <v>0</v>
      </c>
      <c r="N25" s="51">
        <f t="shared" si="26"/>
        <v>0</v>
      </c>
    </row>
    <row r="26" ht="15.75" customHeight="1">
      <c r="A26" s="45" t="s">
        <v>156</v>
      </c>
      <c r="B26" s="46" t="str">
        <f t="shared" ref="B26:I26" si="27">+IFERROR(B24-B25,"nm")</f>
        <v>nm</v>
      </c>
      <c r="C26" s="46">
        <f t="shared" si="27"/>
        <v>0.003228309429</v>
      </c>
      <c r="D26" s="46">
        <f t="shared" si="27"/>
        <v>0.001402301323</v>
      </c>
      <c r="E26" s="46">
        <f t="shared" si="27"/>
        <v>0.002618752582</v>
      </c>
      <c r="F26" s="46">
        <f t="shared" si="27"/>
        <v>-0.002441536151</v>
      </c>
      <c r="G26" s="46">
        <f t="shared" si="27"/>
        <v>-0.001279243405</v>
      </c>
      <c r="H26" s="46">
        <f t="shared" si="27"/>
        <v>-0.001849072784</v>
      </c>
      <c r="I26" s="46">
        <f t="shared" si="27"/>
        <v>0.0001545860529</v>
      </c>
      <c r="J26" s="51">
        <v>0.0</v>
      </c>
      <c r="K26" s="51">
        <f t="shared" ref="K26:N26" si="28">+J26</f>
        <v>0</v>
      </c>
      <c r="L26" s="51">
        <f t="shared" si="28"/>
        <v>0</v>
      </c>
      <c r="M26" s="51">
        <f t="shared" si="28"/>
        <v>0</v>
      </c>
      <c r="N26" s="51">
        <f t="shared" si="28"/>
        <v>0</v>
      </c>
    </row>
    <row r="27" ht="15.75" customHeight="1">
      <c r="A27" s="50" t="s">
        <v>118</v>
      </c>
      <c r="B27" s="12">
        <f>+Historicals!B112</f>
        <v>4410</v>
      </c>
      <c r="C27" s="12">
        <f>+Historicals!C112</f>
        <v>4746</v>
      </c>
      <c r="D27" s="12">
        <f>+Historicals!D112</f>
        <v>4886</v>
      </c>
      <c r="E27" s="12">
        <f>+Historicals!E112</f>
        <v>4938</v>
      </c>
      <c r="F27" s="12">
        <f>+Historicals!F112</f>
        <v>5260</v>
      </c>
      <c r="G27" s="12">
        <f>+Historicals!G112</f>
        <v>4639</v>
      </c>
      <c r="H27" s="12">
        <f>+Historicals!H112</f>
        <v>5028</v>
      </c>
      <c r="I27" s="12">
        <f>+Historicals!I112</f>
        <v>5492</v>
      </c>
      <c r="J27" s="12">
        <f t="shared" ref="J27:N27" si="29">+I27*(1+J28)</f>
        <v>5492</v>
      </c>
      <c r="K27" s="12">
        <f t="shared" si="29"/>
        <v>5492</v>
      </c>
      <c r="L27" s="12">
        <f t="shared" si="29"/>
        <v>5492</v>
      </c>
      <c r="M27" s="12">
        <f t="shared" si="29"/>
        <v>5492</v>
      </c>
      <c r="N27" s="12">
        <f t="shared" si="29"/>
        <v>5492</v>
      </c>
    </row>
    <row r="28" ht="15.75" customHeight="1">
      <c r="A28" s="45" t="s">
        <v>146</v>
      </c>
      <c r="B28" s="46" t="str">
        <f t="shared" ref="B28:I28" si="30">+IFERROR(B27/A27-1,"nm")</f>
        <v>nm</v>
      </c>
      <c r="C28" s="46">
        <f t="shared" si="30"/>
        <v>0.07619047619</v>
      </c>
      <c r="D28" s="46">
        <f t="shared" si="30"/>
        <v>0.02949852507</v>
      </c>
      <c r="E28" s="46">
        <f t="shared" si="30"/>
        <v>0.01064265248</v>
      </c>
      <c r="F28" s="46">
        <f t="shared" si="30"/>
        <v>0.06520858647</v>
      </c>
      <c r="G28" s="46">
        <f t="shared" si="30"/>
        <v>-0.1180608365</v>
      </c>
      <c r="H28" s="46">
        <f t="shared" si="30"/>
        <v>0.08385427894</v>
      </c>
      <c r="I28" s="46">
        <f t="shared" si="30"/>
        <v>0.092283214</v>
      </c>
      <c r="J28" s="46">
        <f t="shared" ref="J28:N28" si="31">+J29+J30</f>
        <v>0</v>
      </c>
      <c r="K28" s="46">
        <f t="shared" si="31"/>
        <v>0</v>
      </c>
      <c r="L28" s="46">
        <f t="shared" si="31"/>
        <v>0</v>
      </c>
      <c r="M28" s="46">
        <f t="shared" si="31"/>
        <v>0</v>
      </c>
      <c r="N28" s="46">
        <f t="shared" si="31"/>
        <v>0</v>
      </c>
    </row>
    <row r="29" ht="15.75" customHeight="1">
      <c r="A29" s="45" t="s">
        <v>155</v>
      </c>
      <c r="B29" s="46">
        <f>+Historicals!B188</f>
        <v>0.24</v>
      </c>
      <c r="C29" s="46">
        <f>+Historicals!C188</f>
        <v>0.16</v>
      </c>
      <c r="D29" s="46">
        <f>+Historicals!D188</f>
        <v>0.08</v>
      </c>
      <c r="E29" s="46">
        <f>+Historicals!E188</f>
        <v>0.06</v>
      </c>
      <c r="F29" s="46">
        <f>+Historicals!F188</f>
        <v>0.12</v>
      </c>
      <c r="G29" s="46">
        <f>+Historicals!G188</f>
        <v>-0.03</v>
      </c>
      <c r="H29" s="46">
        <f>+Historicals!H188</f>
        <v>0.19</v>
      </c>
      <c r="I29" s="46">
        <f>+Historicals!I188</f>
        <v>0.09</v>
      </c>
      <c r="J29" s="51">
        <v>0.0</v>
      </c>
      <c r="K29" s="51">
        <f t="shared" ref="K29:N29" si="32">+J29</f>
        <v>0</v>
      </c>
      <c r="L29" s="51">
        <f t="shared" si="32"/>
        <v>0</v>
      </c>
      <c r="M29" s="51">
        <f t="shared" si="32"/>
        <v>0</v>
      </c>
      <c r="N29" s="51">
        <f t="shared" si="32"/>
        <v>0</v>
      </c>
    </row>
    <row r="30" ht="15.75" customHeight="1">
      <c r="A30" s="45" t="s">
        <v>156</v>
      </c>
      <c r="B30" s="46" t="str">
        <f t="shared" ref="B30:I30" si="33">+IFERROR(B28-B29,"nm")</f>
        <v>nm</v>
      </c>
      <c r="C30" s="46">
        <f t="shared" si="33"/>
        <v>-0.08380952381</v>
      </c>
      <c r="D30" s="46">
        <f t="shared" si="33"/>
        <v>-0.05050147493</v>
      </c>
      <c r="E30" s="46">
        <f t="shared" si="33"/>
        <v>-0.04935734752</v>
      </c>
      <c r="F30" s="46">
        <f t="shared" si="33"/>
        <v>-0.05479141353</v>
      </c>
      <c r="G30" s="46">
        <f t="shared" si="33"/>
        <v>-0.0880608365</v>
      </c>
      <c r="H30" s="46">
        <f t="shared" si="33"/>
        <v>-0.1061457211</v>
      </c>
      <c r="I30" s="46">
        <f t="shared" si="33"/>
        <v>0.002283214002</v>
      </c>
      <c r="J30" s="51">
        <v>0.0</v>
      </c>
      <c r="K30" s="51">
        <f t="shared" ref="K30:N30" si="34">+J30</f>
        <v>0</v>
      </c>
      <c r="L30" s="51">
        <f t="shared" si="34"/>
        <v>0</v>
      </c>
      <c r="M30" s="51">
        <f t="shared" si="34"/>
        <v>0</v>
      </c>
      <c r="N30" s="51">
        <f t="shared" si="34"/>
        <v>0</v>
      </c>
    </row>
    <row r="31" ht="15.75" customHeight="1">
      <c r="A31" s="50" t="s">
        <v>119</v>
      </c>
      <c r="B31" s="12">
        <f>+Historicals!B113</f>
        <v>824</v>
      </c>
      <c r="C31" s="12">
        <f>+Historicals!C113</f>
        <v>719</v>
      </c>
      <c r="D31" s="12">
        <f>+Historicals!D113</f>
        <v>646</v>
      </c>
      <c r="E31" s="12">
        <f>+Historicals!E113</f>
        <v>595</v>
      </c>
      <c r="F31" s="12">
        <f>+Historicals!F113</f>
        <v>597</v>
      </c>
      <c r="G31" s="12">
        <f>+Historicals!G113</f>
        <v>516</v>
      </c>
      <c r="H31" s="12">
        <f>+Historicals!H113</f>
        <v>507</v>
      </c>
      <c r="I31" s="12">
        <f>+Historicals!I113</f>
        <v>633</v>
      </c>
      <c r="J31" s="12">
        <f t="shared" ref="J31:N31" si="35">+I31*(1+J32)</f>
        <v>633</v>
      </c>
      <c r="K31" s="12">
        <f t="shared" si="35"/>
        <v>633</v>
      </c>
      <c r="L31" s="12">
        <f t="shared" si="35"/>
        <v>633</v>
      </c>
      <c r="M31" s="12">
        <f t="shared" si="35"/>
        <v>633</v>
      </c>
      <c r="N31" s="12">
        <f t="shared" si="35"/>
        <v>633</v>
      </c>
    </row>
    <row r="32" ht="15.75" customHeight="1">
      <c r="A32" s="45" t="s">
        <v>146</v>
      </c>
      <c r="B32" s="46" t="str">
        <f t="shared" ref="B32:I32" si="36">+IFERROR(B31/A31-1,"nm")</f>
        <v>nm</v>
      </c>
      <c r="C32" s="46">
        <f t="shared" si="36"/>
        <v>-0.1274271845</v>
      </c>
      <c r="D32" s="46">
        <f t="shared" si="36"/>
        <v>-0.1015299026</v>
      </c>
      <c r="E32" s="46">
        <f t="shared" si="36"/>
        <v>-0.07894736842</v>
      </c>
      <c r="F32" s="46">
        <f t="shared" si="36"/>
        <v>0.003361344538</v>
      </c>
      <c r="G32" s="46">
        <f t="shared" si="36"/>
        <v>-0.135678392</v>
      </c>
      <c r="H32" s="46">
        <f t="shared" si="36"/>
        <v>-0.01744186047</v>
      </c>
      <c r="I32" s="46">
        <f t="shared" si="36"/>
        <v>0.2485207101</v>
      </c>
      <c r="J32" s="46">
        <f t="shared" ref="J32:N32" si="37">+J33+J34</f>
        <v>0</v>
      </c>
      <c r="K32" s="46">
        <f t="shared" si="37"/>
        <v>0</v>
      </c>
      <c r="L32" s="46">
        <f t="shared" si="37"/>
        <v>0</v>
      </c>
      <c r="M32" s="46">
        <f t="shared" si="37"/>
        <v>0</v>
      </c>
      <c r="N32" s="46">
        <f t="shared" si="37"/>
        <v>0</v>
      </c>
    </row>
    <row r="33" ht="15.75" customHeight="1">
      <c r="A33" s="45" t="s">
        <v>155</v>
      </c>
      <c r="B33" s="46">
        <f>+Historicals!B186</f>
        <v>0.12</v>
      </c>
      <c r="C33" s="46">
        <f>+Historicals!C186</f>
        <v>-0.13</v>
      </c>
      <c r="D33" s="46">
        <f>+Historicals!D186</f>
        <v>-0.1</v>
      </c>
      <c r="E33" s="46">
        <f>+Historicals!E186</f>
        <v>-0.08</v>
      </c>
      <c r="F33" s="46">
        <f>+Historicals!F186</f>
        <v>0</v>
      </c>
      <c r="G33" s="46">
        <f>+Historicals!G186</f>
        <v>-0.14</v>
      </c>
      <c r="H33" s="46">
        <f>+Historicals!H186</f>
        <v>-0.02</v>
      </c>
      <c r="I33" s="46">
        <f>+Historicals!I186</f>
        <v>0.25</v>
      </c>
      <c r="J33" s="51">
        <v>0.0</v>
      </c>
      <c r="K33" s="51">
        <f t="shared" ref="K33:N33" si="38">+J33</f>
        <v>0</v>
      </c>
      <c r="L33" s="51">
        <f t="shared" si="38"/>
        <v>0</v>
      </c>
      <c r="M33" s="51">
        <f t="shared" si="38"/>
        <v>0</v>
      </c>
      <c r="N33" s="51">
        <f t="shared" si="38"/>
        <v>0</v>
      </c>
    </row>
    <row r="34" ht="15.75" customHeight="1">
      <c r="A34" s="45" t="s">
        <v>156</v>
      </c>
      <c r="B34" s="46" t="str">
        <f t="shared" ref="B34:I34" si="39">+IFERROR(B32-B33,"nm")</f>
        <v>nm</v>
      </c>
      <c r="C34" s="46">
        <f t="shared" si="39"/>
        <v>0.002572815534</v>
      </c>
      <c r="D34" s="46">
        <f t="shared" si="39"/>
        <v>-0.001529902643</v>
      </c>
      <c r="E34" s="46">
        <f t="shared" si="39"/>
        <v>0.001052631579</v>
      </c>
      <c r="F34" s="46">
        <f t="shared" si="39"/>
        <v>0.003361344538</v>
      </c>
      <c r="G34" s="46">
        <f t="shared" si="39"/>
        <v>0.00432160804</v>
      </c>
      <c r="H34" s="46">
        <f t="shared" si="39"/>
        <v>0.002558139535</v>
      </c>
      <c r="I34" s="46">
        <f t="shared" si="39"/>
        <v>-0.001479289941</v>
      </c>
      <c r="J34" s="51">
        <v>0.0</v>
      </c>
      <c r="K34" s="51">
        <f t="shared" ref="K34:N34" si="40">+J34</f>
        <v>0</v>
      </c>
      <c r="L34" s="51">
        <f t="shared" si="40"/>
        <v>0</v>
      </c>
      <c r="M34" s="51">
        <f t="shared" si="40"/>
        <v>0</v>
      </c>
      <c r="N34" s="51">
        <f t="shared" si="40"/>
        <v>0</v>
      </c>
    </row>
    <row r="35" ht="15.75" customHeight="1">
      <c r="A35" s="12" t="s">
        <v>147</v>
      </c>
      <c r="B35" s="12">
        <f t="shared" ref="B35:I35" si="41">+B42+B38</f>
        <v>3766</v>
      </c>
      <c r="C35" s="12">
        <f t="shared" si="41"/>
        <v>3896</v>
      </c>
      <c r="D35" s="12">
        <f t="shared" si="41"/>
        <v>4015</v>
      </c>
      <c r="E35" s="12">
        <f t="shared" si="41"/>
        <v>3760</v>
      </c>
      <c r="F35" s="12">
        <f t="shared" si="41"/>
        <v>4074</v>
      </c>
      <c r="G35" s="12">
        <f t="shared" si="41"/>
        <v>3047</v>
      </c>
      <c r="H35" s="12">
        <f t="shared" si="41"/>
        <v>5219</v>
      </c>
      <c r="I35" s="12">
        <f t="shared" si="41"/>
        <v>5238</v>
      </c>
      <c r="J35" s="12">
        <f t="shared" ref="J35:N35" si="42">+J21*J37</f>
        <v>5238</v>
      </c>
      <c r="K35" s="12">
        <f t="shared" si="42"/>
        <v>5238</v>
      </c>
      <c r="L35" s="12">
        <f t="shared" si="42"/>
        <v>5238</v>
      </c>
      <c r="M35" s="12">
        <f t="shared" si="42"/>
        <v>5238</v>
      </c>
      <c r="N35" s="12">
        <f t="shared" si="42"/>
        <v>5238</v>
      </c>
    </row>
    <row r="36" ht="15.75" customHeight="1">
      <c r="A36" s="45" t="s">
        <v>146</v>
      </c>
      <c r="B36" s="46" t="str">
        <f t="shared" ref="B36:N36" si="43">+IFERROR(B35/A35-1,"nm")</f>
        <v>nm</v>
      </c>
      <c r="C36" s="46">
        <f t="shared" si="43"/>
        <v>0.03451938396</v>
      </c>
      <c r="D36" s="46">
        <f t="shared" si="43"/>
        <v>0.03054414784</v>
      </c>
      <c r="E36" s="46">
        <f t="shared" si="43"/>
        <v>-0.06351183064</v>
      </c>
      <c r="F36" s="46">
        <f t="shared" si="43"/>
        <v>0.0835106383</v>
      </c>
      <c r="G36" s="46">
        <f t="shared" si="43"/>
        <v>-0.2520864016</v>
      </c>
      <c r="H36" s="46">
        <f t="shared" si="43"/>
        <v>0.7128322941</v>
      </c>
      <c r="I36" s="46">
        <f t="shared" si="43"/>
        <v>0.003640544166</v>
      </c>
      <c r="J36" s="46">
        <f t="shared" si="43"/>
        <v>0</v>
      </c>
      <c r="K36" s="46">
        <f t="shared" si="43"/>
        <v>0</v>
      </c>
      <c r="L36" s="46">
        <f t="shared" si="43"/>
        <v>0</v>
      </c>
      <c r="M36" s="46">
        <f t="shared" si="43"/>
        <v>0</v>
      </c>
      <c r="N36" s="46">
        <f t="shared" si="43"/>
        <v>0</v>
      </c>
    </row>
    <row r="37" ht="15.75" customHeight="1">
      <c r="A37" s="45" t="s">
        <v>148</v>
      </c>
      <c r="B37" s="46">
        <f t="shared" ref="B37:I37" si="44">+IFERROR(B35/B$21,"nm")</f>
        <v>0.2740902475</v>
      </c>
      <c r="C37" s="46">
        <f t="shared" si="44"/>
        <v>0.263885126</v>
      </c>
      <c r="D37" s="46">
        <f t="shared" si="44"/>
        <v>0.2638669821</v>
      </c>
      <c r="E37" s="46">
        <f t="shared" si="44"/>
        <v>0.2531134298</v>
      </c>
      <c r="F37" s="46">
        <f t="shared" si="44"/>
        <v>0.2561941894</v>
      </c>
      <c r="G37" s="46">
        <f t="shared" si="44"/>
        <v>0.2103700635</v>
      </c>
      <c r="H37" s="46">
        <f t="shared" si="44"/>
        <v>0.3038011526</v>
      </c>
      <c r="I37" s="46">
        <f t="shared" si="44"/>
        <v>0.2854029314</v>
      </c>
      <c r="J37" s="51">
        <f t="shared" ref="J37:N37" si="45">+I37</f>
        <v>0.2854029314</v>
      </c>
      <c r="K37" s="51">
        <f t="shared" si="45"/>
        <v>0.2854029314</v>
      </c>
      <c r="L37" s="51">
        <f t="shared" si="45"/>
        <v>0.2854029314</v>
      </c>
      <c r="M37" s="51">
        <f t="shared" si="45"/>
        <v>0.2854029314</v>
      </c>
      <c r="N37" s="51">
        <f t="shared" si="45"/>
        <v>0.2854029314</v>
      </c>
    </row>
    <row r="38" ht="15.75" customHeight="1">
      <c r="A38" s="12" t="s">
        <v>149</v>
      </c>
      <c r="B38" s="12">
        <f>+Historicals!B171</f>
        <v>121</v>
      </c>
      <c r="C38" s="12">
        <f>+Historicals!C171</f>
        <v>133</v>
      </c>
      <c r="D38" s="12">
        <f>+Historicals!D171</f>
        <v>140</v>
      </c>
      <c r="E38" s="12">
        <f>+Historicals!E171</f>
        <v>160</v>
      </c>
      <c r="F38" s="12">
        <f>+Historicals!F171</f>
        <v>149</v>
      </c>
      <c r="G38" s="12">
        <f>+Historicals!G171</f>
        <v>148</v>
      </c>
      <c r="H38" s="12">
        <f>+Historicals!H171</f>
        <v>130</v>
      </c>
      <c r="I38" s="12">
        <f>+Historicals!I171</f>
        <v>124</v>
      </c>
      <c r="J38" s="12">
        <f t="shared" ref="J38:N38" si="46">+J41*J48</f>
        <v>124</v>
      </c>
      <c r="K38" s="12">
        <f t="shared" si="46"/>
        <v>124</v>
      </c>
      <c r="L38" s="12">
        <f t="shared" si="46"/>
        <v>124</v>
      </c>
      <c r="M38" s="12">
        <f t="shared" si="46"/>
        <v>124</v>
      </c>
      <c r="N38" s="12">
        <f t="shared" si="46"/>
        <v>124</v>
      </c>
    </row>
    <row r="39" ht="15.75" customHeight="1">
      <c r="A39" s="45" t="s">
        <v>146</v>
      </c>
      <c r="B39" s="46" t="str">
        <f t="shared" ref="B39:N39" si="47">+IFERROR(B38/A38-1,"nm")</f>
        <v>nm</v>
      </c>
      <c r="C39" s="46">
        <f t="shared" si="47"/>
        <v>0.09917355372</v>
      </c>
      <c r="D39" s="46">
        <f t="shared" si="47"/>
        <v>0.05263157895</v>
      </c>
      <c r="E39" s="46">
        <f t="shared" si="47"/>
        <v>0.1428571429</v>
      </c>
      <c r="F39" s="46">
        <f t="shared" si="47"/>
        <v>-0.06875</v>
      </c>
      <c r="G39" s="46">
        <f t="shared" si="47"/>
        <v>-0.006711409396</v>
      </c>
      <c r="H39" s="46">
        <f t="shared" si="47"/>
        <v>-0.1216216216</v>
      </c>
      <c r="I39" s="46">
        <f t="shared" si="47"/>
        <v>-0.04615384615</v>
      </c>
      <c r="J39" s="46">
        <f t="shared" si="47"/>
        <v>0</v>
      </c>
      <c r="K39" s="46">
        <f t="shared" si="47"/>
        <v>0</v>
      </c>
      <c r="L39" s="46">
        <f t="shared" si="47"/>
        <v>0</v>
      </c>
      <c r="M39" s="46">
        <f t="shared" si="47"/>
        <v>0</v>
      </c>
      <c r="N39" s="46">
        <f t="shared" si="47"/>
        <v>0</v>
      </c>
    </row>
    <row r="40" ht="15.75" customHeight="1">
      <c r="A40" s="45" t="s">
        <v>150</v>
      </c>
      <c r="B40" s="46">
        <f t="shared" ref="B40:N40" si="48">+IFERROR(B38/B$21,"nm")</f>
        <v>0.008806404658</v>
      </c>
      <c r="C40" s="46">
        <f t="shared" si="48"/>
        <v>0.009008398808</v>
      </c>
      <c r="D40" s="46">
        <f t="shared" si="48"/>
        <v>0.00920084122</v>
      </c>
      <c r="E40" s="46">
        <f t="shared" si="48"/>
        <v>0.01077078425</v>
      </c>
      <c r="F40" s="46">
        <f t="shared" si="48"/>
        <v>0.00936989058</v>
      </c>
      <c r="G40" s="46">
        <f t="shared" si="48"/>
        <v>0.01021817178</v>
      </c>
      <c r="H40" s="46">
        <f t="shared" si="48"/>
        <v>0.007567378776</v>
      </c>
      <c r="I40" s="46">
        <f t="shared" si="48"/>
        <v>0.006756388601</v>
      </c>
      <c r="J40" s="46">
        <f t="shared" si="48"/>
        <v>0.006756388601</v>
      </c>
      <c r="K40" s="46">
        <f t="shared" si="48"/>
        <v>0.006756388601</v>
      </c>
      <c r="L40" s="46">
        <f t="shared" si="48"/>
        <v>0.006756388601</v>
      </c>
      <c r="M40" s="46">
        <f t="shared" si="48"/>
        <v>0.006756388601</v>
      </c>
      <c r="N40" s="46">
        <f t="shared" si="48"/>
        <v>0.006756388601</v>
      </c>
    </row>
    <row r="41" ht="15.75" customHeight="1">
      <c r="A41" s="45" t="s">
        <v>157</v>
      </c>
      <c r="B41" s="46">
        <f t="shared" ref="B41:I41" si="49">+IFERROR(B38/B48,"nm")</f>
        <v>0.1914556962</v>
      </c>
      <c r="C41" s="46">
        <f t="shared" si="49"/>
        <v>0.179245283</v>
      </c>
      <c r="D41" s="46">
        <f t="shared" si="49"/>
        <v>0.1709401709</v>
      </c>
      <c r="E41" s="46">
        <f t="shared" si="49"/>
        <v>0.1886792453</v>
      </c>
      <c r="F41" s="46">
        <f t="shared" si="49"/>
        <v>0.183046683</v>
      </c>
      <c r="G41" s="46">
        <f t="shared" si="49"/>
        <v>0.2294573643</v>
      </c>
      <c r="H41" s="46">
        <f t="shared" si="49"/>
        <v>0.2106969206</v>
      </c>
      <c r="I41" s="46">
        <f t="shared" si="49"/>
        <v>0.1940532081</v>
      </c>
      <c r="J41" s="51">
        <f t="shared" ref="J41:N41" si="50">+I41</f>
        <v>0.1940532081</v>
      </c>
      <c r="K41" s="51">
        <f t="shared" si="50"/>
        <v>0.1940532081</v>
      </c>
      <c r="L41" s="51">
        <f t="shared" si="50"/>
        <v>0.1940532081</v>
      </c>
      <c r="M41" s="51">
        <f t="shared" si="50"/>
        <v>0.1940532081</v>
      </c>
      <c r="N41" s="51">
        <f t="shared" si="50"/>
        <v>0.1940532081</v>
      </c>
    </row>
    <row r="42" ht="15.75" customHeight="1">
      <c r="A42" s="12" t="s">
        <v>151</v>
      </c>
      <c r="B42" s="12">
        <f>+Historicals!B137</f>
        <v>3645</v>
      </c>
      <c r="C42" s="12">
        <f>+Historicals!C137</f>
        <v>3763</v>
      </c>
      <c r="D42" s="12">
        <f>+Historicals!D137</f>
        <v>3875</v>
      </c>
      <c r="E42" s="12">
        <f>+Historicals!E137</f>
        <v>3600</v>
      </c>
      <c r="F42" s="12">
        <f>+Historicals!F137</f>
        <v>3925</v>
      </c>
      <c r="G42" s="12">
        <f>+Historicals!G137</f>
        <v>2899</v>
      </c>
      <c r="H42" s="12">
        <f>+Historicals!H137</f>
        <v>5089</v>
      </c>
      <c r="I42" s="12">
        <f>+Historicals!I137</f>
        <v>5114</v>
      </c>
      <c r="J42" s="12">
        <f t="shared" ref="J42:N42" si="51">+J35-J38</f>
        <v>5114</v>
      </c>
      <c r="K42" s="12">
        <f t="shared" si="51"/>
        <v>5114</v>
      </c>
      <c r="L42" s="12">
        <f t="shared" si="51"/>
        <v>5114</v>
      </c>
      <c r="M42" s="12">
        <f t="shared" si="51"/>
        <v>5114</v>
      </c>
      <c r="N42" s="12">
        <f t="shared" si="51"/>
        <v>5114</v>
      </c>
    </row>
    <row r="43" ht="15.75" customHeight="1">
      <c r="A43" s="45" t="s">
        <v>146</v>
      </c>
      <c r="B43" s="46" t="str">
        <f t="shared" ref="B43:N43" si="52">+IFERROR(B42/A42-1,"nm")</f>
        <v>nm</v>
      </c>
      <c r="C43" s="46">
        <f t="shared" si="52"/>
        <v>0.03237311385</v>
      </c>
      <c r="D43" s="46">
        <f t="shared" si="52"/>
        <v>0.02976348658</v>
      </c>
      <c r="E43" s="46">
        <f t="shared" si="52"/>
        <v>-0.07096774194</v>
      </c>
      <c r="F43" s="46">
        <f t="shared" si="52"/>
        <v>0.09027777778</v>
      </c>
      <c r="G43" s="46">
        <f t="shared" si="52"/>
        <v>-0.2614012739</v>
      </c>
      <c r="H43" s="46">
        <f t="shared" si="52"/>
        <v>0.7554329079</v>
      </c>
      <c r="I43" s="46">
        <f t="shared" si="52"/>
        <v>0.004912556494</v>
      </c>
      <c r="J43" s="46">
        <f t="shared" si="52"/>
        <v>0</v>
      </c>
      <c r="K43" s="46">
        <f t="shared" si="52"/>
        <v>0</v>
      </c>
      <c r="L43" s="46">
        <f t="shared" si="52"/>
        <v>0</v>
      </c>
      <c r="M43" s="46">
        <f t="shared" si="52"/>
        <v>0</v>
      </c>
      <c r="N43" s="46">
        <f t="shared" si="52"/>
        <v>0</v>
      </c>
    </row>
    <row r="44" ht="15.75" customHeight="1">
      <c r="A44" s="45" t="s">
        <v>148</v>
      </c>
      <c r="B44" s="46">
        <f t="shared" ref="B44:N44" si="53">+IFERROR(B42/B$21,"nm")</f>
        <v>0.2652838428</v>
      </c>
      <c r="C44" s="46">
        <f t="shared" si="53"/>
        <v>0.2548767272</v>
      </c>
      <c r="D44" s="46">
        <f t="shared" si="53"/>
        <v>0.2546661409</v>
      </c>
      <c r="E44" s="46">
        <f t="shared" si="53"/>
        <v>0.2423426456</v>
      </c>
      <c r="F44" s="46">
        <f t="shared" si="53"/>
        <v>0.2468242988</v>
      </c>
      <c r="G44" s="46">
        <f t="shared" si="53"/>
        <v>0.2001518917</v>
      </c>
      <c r="H44" s="46">
        <f t="shared" si="53"/>
        <v>0.2962337738</v>
      </c>
      <c r="I44" s="46">
        <f t="shared" si="53"/>
        <v>0.2786465428</v>
      </c>
      <c r="J44" s="46">
        <f t="shared" si="53"/>
        <v>0.2786465428</v>
      </c>
      <c r="K44" s="46">
        <f t="shared" si="53"/>
        <v>0.2786465428</v>
      </c>
      <c r="L44" s="46">
        <f t="shared" si="53"/>
        <v>0.2786465428</v>
      </c>
      <c r="M44" s="46">
        <f t="shared" si="53"/>
        <v>0.2786465428</v>
      </c>
      <c r="N44" s="46">
        <f t="shared" si="53"/>
        <v>0.2786465428</v>
      </c>
    </row>
    <row r="45" ht="15.75" customHeight="1">
      <c r="A45" s="12" t="s">
        <v>152</v>
      </c>
      <c r="B45" s="12">
        <f>+Historicals!B159</f>
        <v>208</v>
      </c>
      <c r="C45" s="12">
        <f>+Historicals!C159</f>
        <v>242</v>
      </c>
      <c r="D45" s="12">
        <f>+Historicals!D159</f>
        <v>223</v>
      </c>
      <c r="E45" s="12">
        <f>+Historicals!E159</f>
        <v>196</v>
      </c>
      <c r="F45" s="12">
        <f>+Historicals!F159</f>
        <v>117</v>
      </c>
      <c r="G45" s="12">
        <f>+Historicals!G159</f>
        <v>110</v>
      </c>
      <c r="H45" s="12">
        <f>+Historicals!H159</f>
        <v>98</v>
      </c>
      <c r="I45" s="12">
        <f>+Historicals!I159</f>
        <v>146</v>
      </c>
      <c r="J45" s="12">
        <f t="shared" ref="J45:N45" si="54">+J21*J47</f>
        <v>146</v>
      </c>
      <c r="K45" s="12">
        <f t="shared" si="54"/>
        <v>146</v>
      </c>
      <c r="L45" s="12">
        <f t="shared" si="54"/>
        <v>146</v>
      </c>
      <c r="M45" s="12">
        <f t="shared" si="54"/>
        <v>146</v>
      </c>
      <c r="N45" s="12">
        <f t="shared" si="54"/>
        <v>146</v>
      </c>
    </row>
    <row r="46" ht="15.75" customHeight="1">
      <c r="A46" s="45" t="s">
        <v>146</v>
      </c>
      <c r="B46" s="46" t="str">
        <f t="shared" ref="B46:N46" si="55">+IFERROR(B45/A45-1,"nm")</f>
        <v>nm</v>
      </c>
      <c r="C46" s="46">
        <f t="shared" si="55"/>
        <v>0.1634615385</v>
      </c>
      <c r="D46" s="46">
        <f t="shared" si="55"/>
        <v>-0.07851239669</v>
      </c>
      <c r="E46" s="46">
        <f t="shared" si="55"/>
        <v>-0.1210762332</v>
      </c>
      <c r="F46" s="46">
        <f t="shared" si="55"/>
        <v>-0.4030612245</v>
      </c>
      <c r="G46" s="46">
        <f t="shared" si="55"/>
        <v>-0.05982905983</v>
      </c>
      <c r="H46" s="46">
        <f t="shared" si="55"/>
        <v>-0.1090909091</v>
      </c>
      <c r="I46" s="46">
        <f t="shared" si="55"/>
        <v>0.4897959184</v>
      </c>
      <c r="J46" s="46">
        <f t="shared" si="55"/>
        <v>0</v>
      </c>
      <c r="K46" s="46">
        <f t="shared" si="55"/>
        <v>0</v>
      </c>
      <c r="L46" s="46">
        <f t="shared" si="55"/>
        <v>0</v>
      </c>
      <c r="M46" s="46">
        <f t="shared" si="55"/>
        <v>0</v>
      </c>
      <c r="N46" s="46">
        <f t="shared" si="55"/>
        <v>0</v>
      </c>
    </row>
    <row r="47" ht="15.75" customHeight="1">
      <c r="A47" s="45" t="s">
        <v>150</v>
      </c>
      <c r="B47" s="46">
        <f t="shared" ref="B47:I47" si="56">+IFERROR(B45/B$21,"nm")</f>
        <v>0.01513828239</v>
      </c>
      <c r="C47" s="46">
        <f t="shared" si="56"/>
        <v>0.01639122189</v>
      </c>
      <c r="D47" s="46">
        <f t="shared" si="56"/>
        <v>0.01465562566</v>
      </c>
      <c r="E47" s="46">
        <f t="shared" si="56"/>
        <v>0.0131942107</v>
      </c>
      <c r="F47" s="46">
        <f t="shared" si="56"/>
        <v>0.007357565086</v>
      </c>
      <c r="G47" s="46">
        <f t="shared" si="56"/>
        <v>0.007594587131</v>
      </c>
      <c r="H47" s="46">
        <f t="shared" si="56"/>
        <v>0.005704639385</v>
      </c>
      <c r="I47" s="46">
        <f t="shared" si="56"/>
        <v>0.007955102708</v>
      </c>
      <c r="J47" s="51">
        <f t="shared" ref="J47:N47" si="57">+I47</f>
        <v>0.007955102708</v>
      </c>
      <c r="K47" s="51">
        <f t="shared" si="57"/>
        <v>0.007955102708</v>
      </c>
      <c r="L47" s="51">
        <f t="shared" si="57"/>
        <v>0.007955102708</v>
      </c>
      <c r="M47" s="51">
        <f t="shared" si="57"/>
        <v>0.007955102708</v>
      </c>
      <c r="N47" s="51">
        <f t="shared" si="57"/>
        <v>0.007955102708</v>
      </c>
    </row>
    <row r="48" ht="15.75" customHeight="1">
      <c r="A48" s="12" t="s">
        <v>153</v>
      </c>
      <c r="B48" s="12">
        <f>+Historicals!B148</f>
        <v>632</v>
      </c>
      <c r="C48" s="12">
        <f>+Historicals!C148</f>
        <v>742</v>
      </c>
      <c r="D48" s="12">
        <f>+Historicals!D148</f>
        <v>819</v>
      </c>
      <c r="E48" s="12">
        <f>+Historicals!E148</f>
        <v>848</v>
      </c>
      <c r="F48" s="12">
        <f>+Historicals!F148</f>
        <v>814</v>
      </c>
      <c r="G48" s="12">
        <f>+Historicals!G148</f>
        <v>645</v>
      </c>
      <c r="H48" s="12">
        <f>+Historicals!H148</f>
        <v>617</v>
      </c>
      <c r="I48" s="12">
        <f>+Historicals!I148</f>
        <v>639</v>
      </c>
      <c r="J48" s="12">
        <f t="shared" ref="J48:N48" si="58">+J21*J50</f>
        <v>639</v>
      </c>
      <c r="K48" s="12">
        <f t="shared" si="58"/>
        <v>639</v>
      </c>
      <c r="L48" s="12">
        <f t="shared" si="58"/>
        <v>639</v>
      </c>
      <c r="M48" s="12">
        <f t="shared" si="58"/>
        <v>639</v>
      </c>
      <c r="N48" s="12">
        <f t="shared" si="58"/>
        <v>639</v>
      </c>
    </row>
    <row r="49" ht="15.75" customHeight="1">
      <c r="A49" s="45" t="s">
        <v>146</v>
      </c>
      <c r="B49" s="46" t="str">
        <f t="shared" ref="B49:I49" si="59">+IFERROR(B48/A48-1,"nm")</f>
        <v>nm</v>
      </c>
      <c r="C49" s="46">
        <f t="shared" si="59"/>
        <v>0.1740506329</v>
      </c>
      <c r="D49" s="46">
        <f t="shared" si="59"/>
        <v>0.1037735849</v>
      </c>
      <c r="E49" s="46">
        <f t="shared" si="59"/>
        <v>0.03540903541</v>
      </c>
      <c r="F49" s="46">
        <f t="shared" si="59"/>
        <v>-0.04009433962</v>
      </c>
      <c r="G49" s="46">
        <f t="shared" si="59"/>
        <v>-0.2076167076</v>
      </c>
      <c r="H49" s="46">
        <f t="shared" si="59"/>
        <v>-0.04341085271</v>
      </c>
      <c r="I49" s="46">
        <f t="shared" si="59"/>
        <v>0.03565640194</v>
      </c>
      <c r="J49" s="46">
        <f t="shared" ref="J49:N49" si="60">+J50+J51</f>
        <v>0.0348171961</v>
      </c>
      <c r="K49" s="46">
        <f t="shared" si="60"/>
        <v>0.0348171961</v>
      </c>
      <c r="L49" s="46">
        <f t="shared" si="60"/>
        <v>0.0348171961</v>
      </c>
      <c r="M49" s="46">
        <f t="shared" si="60"/>
        <v>0.0348171961</v>
      </c>
      <c r="N49" s="46">
        <f t="shared" si="60"/>
        <v>0.0348171961</v>
      </c>
    </row>
    <row r="50" ht="15.75" customHeight="1">
      <c r="A50" s="45" t="s">
        <v>150</v>
      </c>
      <c r="B50" s="46">
        <f t="shared" ref="B50:I50" si="61">+IFERROR(B48/B$21,"nm")</f>
        <v>0.04599708879</v>
      </c>
      <c r="C50" s="46">
        <f t="shared" si="61"/>
        <v>0.05025738282</v>
      </c>
      <c r="D50" s="46">
        <f t="shared" si="61"/>
        <v>0.05382492114</v>
      </c>
      <c r="E50" s="46">
        <f t="shared" si="61"/>
        <v>0.05708515651</v>
      </c>
      <c r="F50" s="46">
        <f t="shared" si="61"/>
        <v>0.05118852974</v>
      </c>
      <c r="G50" s="46">
        <f t="shared" si="61"/>
        <v>0.04453189727</v>
      </c>
      <c r="H50" s="46">
        <f t="shared" si="61"/>
        <v>0.03591594388</v>
      </c>
      <c r="I50" s="46">
        <f t="shared" si="61"/>
        <v>0.0348171961</v>
      </c>
      <c r="J50" s="51">
        <f t="shared" ref="J50:N50" si="62">+I50</f>
        <v>0.0348171961</v>
      </c>
      <c r="K50" s="51">
        <f t="shared" si="62"/>
        <v>0.0348171961</v>
      </c>
      <c r="L50" s="51">
        <f t="shared" si="62"/>
        <v>0.0348171961</v>
      </c>
      <c r="M50" s="51">
        <f t="shared" si="62"/>
        <v>0.0348171961</v>
      </c>
      <c r="N50" s="51">
        <f t="shared" si="62"/>
        <v>0.0348171961</v>
      </c>
    </row>
    <row r="51" ht="15.75" customHeight="1">
      <c r="A51" s="48" t="str">
        <f>+Historicals!A187</f>
        <v>Europe, Middle East &amp; Africa</v>
      </c>
      <c r="B51" s="49"/>
      <c r="C51" s="49"/>
      <c r="D51" s="49"/>
      <c r="E51" s="49"/>
      <c r="F51" s="49"/>
      <c r="G51" s="49"/>
      <c r="H51" s="49"/>
      <c r="I51" s="49"/>
      <c r="J51" s="43"/>
      <c r="K51" s="43"/>
      <c r="L51" s="43"/>
      <c r="M51" s="43"/>
      <c r="N51" s="43"/>
    </row>
    <row r="52" ht="15.75" customHeight="1">
      <c r="A52" s="12" t="s">
        <v>154</v>
      </c>
      <c r="B52" s="12">
        <f t="shared" ref="B52:I52" si="63">B54+B58+B62</f>
        <v>7126</v>
      </c>
      <c r="C52" s="12">
        <f t="shared" si="63"/>
        <v>7568</v>
      </c>
      <c r="D52" s="12">
        <f t="shared" si="63"/>
        <v>7970</v>
      </c>
      <c r="E52" s="12">
        <f t="shared" si="63"/>
        <v>9242</v>
      </c>
      <c r="F52" s="12">
        <f t="shared" si="63"/>
        <v>9812</v>
      </c>
      <c r="G52" s="12">
        <f t="shared" si="63"/>
        <v>9347</v>
      </c>
      <c r="H52" s="12">
        <f t="shared" si="63"/>
        <v>11456</v>
      </c>
      <c r="I52" s="12">
        <f t="shared" si="63"/>
        <v>12479</v>
      </c>
      <c r="J52" s="12">
        <f t="shared" ref="J52:N52" si="64">+SUM(J54+J58+J62)</f>
        <v>12479</v>
      </c>
      <c r="K52" s="12">
        <f t="shared" si="64"/>
        <v>12479</v>
      </c>
      <c r="L52" s="12">
        <f t="shared" si="64"/>
        <v>12479</v>
      </c>
      <c r="M52" s="12">
        <f t="shared" si="64"/>
        <v>12479</v>
      </c>
      <c r="N52" s="12">
        <f t="shared" si="64"/>
        <v>12479</v>
      </c>
    </row>
    <row r="53" ht="15.75" customHeight="1">
      <c r="A53" s="45" t="s">
        <v>146</v>
      </c>
      <c r="C53" s="46">
        <f t="shared" ref="C53:N53" si="65">+IFERROR(C52/B52-1,"nm")</f>
        <v>0.06202638226</v>
      </c>
      <c r="D53" s="46">
        <f t="shared" si="65"/>
        <v>0.05311839323</v>
      </c>
      <c r="E53" s="46">
        <f t="shared" si="65"/>
        <v>0.1595984944</v>
      </c>
      <c r="F53" s="46">
        <f t="shared" si="65"/>
        <v>0.06167496213</v>
      </c>
      <c r="G53" s="46">
        <f t="shared" si="65"/>
        <v>-0.04739094986</v>
      </c>
      <c r="H53" s="46">
        <f t="shared" si="65"/>
        <v>0.2256338932</v>
      </c>
      <c r="I53" s="46">
        <f t="shared" si="65"/>
        <v>0.08929818436</v>
      </c>
      <c r="J53" s="46">
        <f t="shared" si="65"/>
        <v>0</v>
      </c>
      <c r="K53" s="46">
        <f t="shared" si="65"/>
        <v>0</v>
      </c>
      <c r="L53" s="46">
        <f t="shared" si="65"/>
        <v>0</v>
      </c>
      <c r="M53" s="46">
        <f t="shared" si="65"/>
        <v>0</v>
      </c>
      <c r="N53" s="46">
        <f t="shared" si="65"/>
        <v>0</v>
      </c>
    </row>
    <row r="54" ht="15.75" customHeight="1">
      <c r="A54" s="50" t="s">
        <v>117</v>
      </c>
      <c r="B54" s="12">
        <f>+Historicals!B115</f>
        <v>4703</v>
      </c>
      <c r="C54" s="12">
        <f>+Historicals!C115</f>
        <v>5043</v>
      </c>
      <c r="D54" s="12">
        <f>+Historicals!D115</f>
        <v>5192</v>
      </c>
      <c r="E54" s="12">
        <f>+Historicals!E115</f>
        <v>5875</v>
      </c>
      <c r="F54" s="12">
        <f>+Historicals!F115</f>
        <v>6293</v>
      </c>
      <c r="G54" s="12">
        <f>+Historicals!G115</f>
        <v>5892</v>
      </c>
      <c r="H54" s="12">
        <f>+Historicals!H115</f>
        <v>6970</v>
      </c>
      <c r="I54" s="12">
        <f>+Historicals!I115</f>
        <v>7388</v>
      </c>
      <c r="J54" s="12">
        <f t="shared" ref="J54:N54" si="66">+I54*(1+J55)</f>
        <v>7388</v>
      </c>
      <c r="K54" s="12">
        <f t="shared" si="66"/>
        <v>7388</v>
      </c>
      <c r="L54" s="12">
        <f t="shared" si="66"/>
        <v>7388</v>
      </c>
      <c r="M54" s="12">
        <f t="shared" si="66"/>
        <v>7388</v>
      </c>
      <c r="N54" s="12">
        <f t="shared" si="66"/>
        <v>7388</v>
      </c>
    </row>
    <row r="55" ht="15.75" customHeight="1">
      <c r="A55" s="45" t="s">
        <v>146</v>
      </c>
      <c r="C55" s="46">
        <f t="shared" ref="C55:I55" si="67">+IFERROR(C54/B54-1,"nm")</f>
        <v>0.07229428025</v>
      </c>
      <c r="D55" s="46">
        <f t="shared" si="67"/>
        <v>0.02954590522</v>
      </c>
      <c r="E55" s="46">
        <f t="shared" si="67"/>
        <v>0.1315485362</v>
      </c>
      <c r="F55" s="46">
        <f t="shared" si="67"/>
        <v>0.07114893617</v>
      </c>
      <c r="G55" s="46">
        <f t="shared" si="67"/>
        <v>-0.06372159542</v>
      </c>
      <c r="H55" s="46">
        <f t="shared" si="67"/>
        <v>0.1829599457</v>
      </c>
      <c r="I55" s="46">
        <f t="shared" si="67"/>
        <v>0.0599713056</v>
      </c>
      <c r="J55" s="46">
        <f t="shared" ref="J55:N55" si="68">+J56+J57</f>
        <v>0</v>
      </c>
      <c r="K55" s="46">
        <f t="shared" si="68"/>
        <v>0</v>
      </c>
      <c r="L55" s="46">
        <f t="shared" si="68"/>
        <v>0</v>
      </c>
      <c r="M55" s="46">
        <f t="shared" si="68"/>
        <v>0</v>
      </c>
      <c r="N55" s="46">
        <f t="shared" si="68"/>
        <v>0</v>
      </c>
    </row>
    <row r="56" ht="15.75" customHeight="1">
      <c r="A56" s="45" t="s">
        <v>155</v>
      </c>
      <c r="B56" s="46">
        <f>+Historicals!B188</f>
        <v>0.24</v>
      </c>
      <c r="C56" s="46">
        <f>+Historicals!C188</f>
        <v>0.16</v>
      </c>
      <c r="D56" s="46">
        <f>+Historicals!D188</f>
        <v>0.08</v>
      </c>
      <c r="E56" s="46">
        <f>+Historicals!E188</f>
        <v>0.06</v>
      </c>
      <c r="F56" s="46">
        <f>+Historicals!F188</f>
        <v>0.12</v>
      </c>
      <c r="G56" s="46">
        <f>+Historicals!G188</f>
        <v>-0.03</v>
      </c>
      <c r="H56" s="46">
        <f>+Historicals!H188</f>
        <v>0.19</v>
      </c>
      <c r="I56" s="46">
        <f>+Historicals!I188</f>
        <v>0.09</v>
      </c>
      <c r="J56" s="51">
        <v>0.0</v>
      </c>
      <c r="K56" s="51">
        <f t="shared" ref="K56:N56" si="69">+J56</f>
        <v>0</v>
      </c>
      <c r="L56" s="51">
        <f t="shared" si="69"/>
        <v>0</v>
      </c>
      <c r="M56" s="51">
        <f t="shared" si="69"/>
        <v>0</v>
      </c>
      <c r="N56" s="51">
        <f t="shared" si="69"/>
        <v>0</v>
      </c>
    </row>
    <row r="57" ht="15.75" customHeight="1">
      <c r="A57" s="45" t="s">
        <v>156</v>
      </c>
      <c r="B57" s="46"/>
      <c r="C57" s="46">
        <f t="shared" ref="C57:I57" si="70">+IFERROR(C55-C56,"nm")</f>
        <v>-0.08770571975</v>
      </c>
      <c r="D57" s="46">
        <f t="shared" si="70"/>
        <v>-0.05045409478</v>
      </c>
      <c r="E57" s="46">
        <f t="shared" si="70"/>
        <v>0.07154853621</v>
      </c>
      <c r="F57" s="46">
        <f t="shared" si="70"/>
        <v>-0.04885106383</v>
      </c>
      <c r="G57" s="46">
        <f t="shared" si="70"/>
        <v>-0.03372159542</v>
      </c>
      <c r="H57" s="46">
        <f t="shared" si="70"/>
        <v>-0.007040054311</v>
      </c>
      <c r="I57" s="46">
        <f t="shared" si="70"/>
        <v>-0.0300286944</v>
      </c>
      <c r="J57" s="51">
        <v>0.0</v>
      </c>
      <c r="K57" s="51">
        <f t="shared" ref="K57:N57" si="71">+J57</f>
        <v>0</v>
      </c>
      <c r="L57" s="51">
        <f t="shared" si="71"/>
        <v>0</v>
      </c>
      <c r="M57" s="51">
        <f t="shared" si="71"/>
        <v>0</v>
      </c>
      <c r="N57" s="51">
        <f t="shared" si="71"/>
        <v>0</v>
      </c>
    </row>
    <row r="58" ht="15.75" customHeight="1">
      <c r="A58" s="50" t="s">
        <v>118</v>
      </c>
      <c r="B58" s="12">
        <f>+Historicals!B116</f>
        <v>2050</v>
      </c>
      <c r="C58" s="12">
        <f>+Historicals!C116</f>
        <v>2149</v>
      </c>
      <c r="D58" s="12">
        <f>+Historicals!D116</f>
        <v>2395</v>
      </c>
      <c r="E58" s="12">
        <f>+Historicals!E116</f>
        <v>2940</v>
      </c>
      <c r="F58" s="12">
        <f>+Historicals!F116</f>
        <v>3087</v>
      </c>
      <c r="G58" s="12">
        <f>+Historicals!G116</f>
        <v>3053</v>
      </c>
      <c r="H58" s="12">
        <f>+Historicals!H116</f>
        <v>3996</v>
      </c>
      <c r="I58" s="12">
        <f>+Historicals!I116</f>
        <v>4527</v>
      </c>
      <c r="J58" s="12">
        <f t="shared" ref="J58:N58" si="72">+I58*(1+J59)</f>
        <v>4527</v>
      </c>
      <c r="K58" s="12">
        <f t="shared" si="72"/>
        <v>4527</v>
      </c>
      <c r="L58" s="12">
        <f t="shared" si="72"/>
        <v>4527</v>
      </c>
      <c r="M58" s="12">
        <f t="shared" si="72"/>
        <v>4527</v>
      </c>
      <c r="N58" s="12">
        <f t="shared" si="72"/>
        <v>4527</v>
      </c>
    </row>
    <row r="59" ht="15.75" customHeight="1">
      <c r="A59" s="45" t="s">
        <v>146</v>
      </c>
      <c r="C59" s="46">
        <f t="shared" ref="C59:I59" si="73">+IFERROR(C58/B58-1,"nm")</f>
        <v>0.04829268293</v>
      </c>
      <c r="D59" s="46">
        <f t="shared" si="73"/>
        <v>0.1144718474</v>
      </c>
      <c r="E59" s="46">
        <f t="shared" si="73"/>
        <v>0.2275574113</v>
      </c>
      <c r="F59" s="46">
        <f t="shared" si="73"/>
        <v>0.05</v>
      </c>
      <c r="G59" s="46">
        <f t="shared" si="73"/>
        <v>-0.01101392938</v>
      </c>
      <c r="H59" s="46">
        <f t="shared" si="73"/>
        <v>0.3088765149</v>
      </c>
      <c r="I59" s="46">
        <f t="shared" si="73"/>
        <v>0.1328828829</v>
      </c>
      <c r="J59" s="46">
        <f t="shared" ref="J59:N59" si="74">+J60+J61</f>
        <v>0</v>
      </c>
      <c r="K59" s="46">
        <f t="shared" si="74"/>
        <v>0</v>
      </c>
      <c r="L59" s="46">
        <f t="shared" si="74"/>
        <v>0</v>
      </c>
      <c r="M59" s="46">
        <f t="shared" si="74"/>
        <v>0</v>
      </c>
      <c r="N59" s="46">
        <f t="shared" si="74"/>
        <v>0</v>
      </c>
    </row>
    <row r="60" ht="15.75" customHeight="1">
      <c r="A60" s="45" t="s">
        <v>155</v>
      </c>
      <c r="B60" s="46">
        <f>+Historicals!B189</f>
        <v>0.12</v>
      </c>
      <c r="C60" s="46">
        <f>+Historicals!C189</f>
        <v>0.14</v>
      </c>
      <c r="D60" s="46">
        <f>+Historicals!D189</f>
        <v>0.17</v>
      </c>
      <c r="E60" s="46">
        <f>+Historicals!E189</f>
        <v>0.16</v>
      </c>
      <c r="F60" s="46">
        <f>+Historicals!F189</f>
        <v>0.09</v>
      </c>
      <c r="G60" s="46">
        <f>+Historicals!G189</f>
        <v>0.02</v>
      </c>
      <c r="H60" s="46">
        <f>+Historicals!H189</f>
        <v>0.25</v>
      </c>
      <c r="I60" s="46">
        <f>+Historicals!I189</f>
        <v>0.16</v>
      </c>
      <c r="J60" s="51">
        <v>0.0</v>
      </c>
      <c r="K60" s="51">
        <f t="shared" ref="K60:N60" si="75">+J60</f>
        <v>0</v>
      </c>
      <c r="L60" s="51">
        <f t="shared" si="75"/>
        <v>0</v>
      </c>
      <c r="M60" s="51">
        <f t="shared" si="75"/>
        <v>0</v>
      </c>
      <c r="N60" s="51">
        <f t="shared" si="75"/>
        <v>0</v>
      </c>
    </row>
    <row r="61" ht="15.75" customHeight="1">
      <c r="A61" s="45" t="s">
        <v>156</v>
      </c>
      <c r="C61" s="46">
        <f t="shared" ref="C61:I61" si="76">+IFERROR(C59-C60,"nm")</f>
        <v>-0.09170731707</v>
      </c>
      <c r="D61" s="46">
        <f t="shared" si="76"/>
        <v>-0.05552815263</v>
      </c>
      <c r="E61" s="46">
        <f t="shared" si="76"/>
        <v>0.06755741127</v>
      </c>
      <c r="F61" s="46">
        <f t="shared" si="76"/>
        <v>-0.04</v>
      </c>
      <c r="G61" s="46">
        <f t="shared" si="76"/>
        <v>-0.03101392938</v>
      </c>
      <c r="H61" s="46">
        <f t="shared" si="76"/>
        <v>0.0588765149</v>
      </c>
      <c r="I61" s="46">
        <f t="shared" si="76"/>
        <v>-0.02711711712</v>
      </c>
      <c r="J61" s="51">
        <v>0.0</v>
      </c>
      <c r="K61" s="51">
        <f t="shared" ref="K61:N61" si="77">+J61</f>
        <v>0</v>
      </c>
      <c r="L61" s="51">
        <f t="shared" si="77"/>
        <v>0</v>
      </c>
      <c r="M61" s="51">
        <f t="shared" si="77"/>
        <v>0</v>
      </c>
      <c r="N61" s="51">
        <f t="shared" si="77"/>
        <v>0</v>
      </c>
    </row>
    <row r="62" ht="15.75" customHeight="1">
      <c r="A62" s="50" t="s">
        <v>119</v>
      </c>
      <c r="B62" s="12">
        <f>+Historicals!B117</f>
        <v>373</v>
      </c>
      <c r="C62" s="12">
        <f>+Historicals!C117</f>
        <v>376</v>
      </c>
      <c r="D62" s="12">
        <f>+Historicals!D117</f>
        <v>383</v>
      </c>
      <c r="E62" s="12">
        <f>+Historicals!E117</f>
        <v>427</v>
      </c>
      <c r="F62" s="12">
        <f>+Historicals!F117</f>
        <v>432</v>
      </c>
      <c r="G62" s="12">
        <f>+Historicals!G117</f>
        <v>402</v>
      </c>
      <c r="H62" s="12">
        <f>+Historicals!H117</f>
        <v>490</v>
      </c>
      <c r="I62" s="12">
        <f>+Historicals!I117</f>
        <v>564</v>
      </c>
      <c r="J62" s="12">
        <f t="shared" ref="J62:N62" si="78">+I62*(1+J63)</f>
        <v>564</v>
      </c>
      <c r="K62" s="12">
        <f t="shared" si="78"/>
        <v>564</v>
      </c>
      <c r="L62" s="12">
        <f t="shared" si="78"/>
        <v>564</v>
      </c>
      <c r="M62" s="12">
        <f t="shared" si="78"/>
        <v>564</v>
      </c>
      <c r="N62" s="12">
        <f t="shared" si="78"/>
        <v>564</v>
      </c>
    </row>
    <row r="63" ht="15.75" customHeight="1">
      <c r="A63" s="45" t="s">
        <v>146</v>
      </c>
      <c r="C63" s="46">
        <f t="shared" ref="C63:I63" si="79">+IFERROR(C62/B62-1,"nm")</f>
        <v>0.008042895442</v>
      </c>
      <c r="D63" s="46">
        <f t="shared" si="79"/>
        <v>0.01861702128</v>
      </c>
      <c r="E63" s="46">
        <f t="shared" si="79"/>
        <v>0.1148825065</v>
      </c>
      <c r="F63" s="46">
        <f t="shared" si="79"/>
        <v>0.01170960187</v>
      </c>
      <c r="G63" s="46">
        <f t="shared" si="79"/>
        <v>-0.06944444444</v>
      </c>
      <c r="H63" s="46">
        <f t="shared" si="79"/>
        <v>0.2189054726</v>
      </c>
      <c r="I63" s="46">
        <f t="shared" si="79"/>
        <v>0.1510204082</v>
      </c>
      <c r="J63" s="46">
        <f t="shared" ref="J63:N63" si="80">+J64+J65</f>
        <v>0</v>
      </c>
      <c r="K63" s="46">
        <f t="shared" si="80"/>
        <v>0</v>
      </c>
      <c r="L63" s="46">
        <f t="shared" si="80"/>
        <v>0</v>
      </c>
      <c r="M63" s="46">
        <f t="shared" si="80"/>
        <v>0</v>
      </c>
      <c r="N63" s="46">
        <f t="shared" si="80"/>
        <v>0</v>
      </c>
    </row>
    <row r="64" ht="15.75" customHeight="1">
      <c r="A64" s="45" t="s">
        <v>155</v>
      </c>
      <c r="B64" s="46">
        <f>+Historicals!B190</f>
        <v>0.15</v>
      </c>
      <c r="C64" s="46">
        <f>+Historicals!C190</f>
        <v>0.08</v>
      </c>
      <c r="D64" s="46">
        <f>+Historicals!D190</f>
        <v>0.07</v>
      </c>
      <c r="E64" s="46">
        <f>+Historicals!E190</f>
        <v>0.06</v>
      </c>
      <c r="F64" s="46">
        <f>+Historicals!F190</f>
        <v>0.05</v>
      </c>
      <c r="G64" s="46">
        <f>+Historicals!G190</f>
        <v>-0.03</v>
      </c>
      <c r="H64" s="46">
        <f>+Historicals!H190</f>
        <v>0.19</v>
      </c>
      <c r="I64" s="46">
        <f>+Historicals!I190</f>
        <v>0.17</v>
      </c>
      <c r="J64" s="51">
        <v>0.0</v>
      </c>
      <c r="K64" s="51">
        <f t="shared" ref="K64:N64" si="81">+J64</f>
        <v>0</v>
      </c>
      <c r="L64" s="51">
        <f t="shared" si="81"/>
        <v>0</v>
      </c>
      <c r="M64" s="51">
        <f t="shared" si="81"/>
        <v>0</v>
      </c>
      <c r="N64" s="51">
        <f t="shared" si="81"/>
        <v>0</v>
      </c>
    </row>
    <row r="65" ht="15.75" customHeight="1">
      <c r="A65" s="45" t="s">
        <v>156</v>
      </c>
      <c r="C65" s="46">
        <f t="shared" ref="C65:I65" si="82">+IFERROR(C63-C64,"nm")</f>
        <v>-0.07195710456</v>
      </c>
      <c r="D65" s="46">
        <f t="shared" si="82"/>
        <v>-0.05138297872</v>
      </c>
      <c r="E65" s="46">
        <f t="shared" si="82"/>
        <v>0.05488250653</v>
      </c>
      <c r="F65" s="46">
        <f t="shared" si="82"/>
        <v>-0.03829039813</v>
      </c>
      <c r="G65" s="46">
        <f t="shared" si="82"/>
        <v>-0.03944444444</v>
      </c>
      <c r="H65" s="46">
        <f t="shared" si="82"/>
        <v>0.02890547264</v>
      </c>
      <c r="I65" s="46">
        <f t="shared" si="82"/>
        <v>-0.01897959184</v>
      </c>
      <c r="J65" s="51">
        <v>0.0</v>
      </c>
      <c r="K65" s="51">
        <f t="shared" ref="K65:N65" si="83">+J65</f>
        <v>0</v>
      </c>
      <c r="L65" s="51">
        <f t="shared" si="83"/>
        <v>0</v>
      </c>
      <c r="M65" s="51">
        <f t="shared" si="83"/>
        <v>0</v>
      </c>
      <c r="N65" s="51">
        <f t="shared" si="83"/>
        <v>0</v>
      </c>
    </row>
    <row r="66" ht="15.75" customHeight="1">
      <c r="A66" s="12" t="s">
        <v>147</v>
      </c>
      <c r="B66" s="12">
        <f t="shared" ref="B66:I66" si="84">+B73+B69</f>
        <v>1611</v>
      </c>
      <c r="C66" s="12">
        <f t="shared" si="84"/>
        <v>1871</v>
      </c>
      <c r="D66" s="12">
        <f t="shared" si="84"/>
        <v>1611</v>
      </c>
      <c r="E66" s="12">
        <f t="shared" si="84"/>
        <v>1703</v>
      </c>
      <c r="F66" s="12">
        <f t="shared" si="84"/>
        <v>2106</v>
      </c>
      <c r="G66" s="12">
        <f t="shared" si="84"/>
        <v>1673</v>
      </c>
      <c r="H66" s="12">
        <f t="shared" si="84"/>
        <v>2571</v>
      </c>
      <c r="I66" s="12">
        <f t="shared" si="84"/>
        <v>3427</v>
      </c>
      <c r="J66" s="12">
        <f t="shared" ref="J66:N66" si="85">+J52*J68</f>
        <v>3427</v>
      </c>
      <c r="K66" s="12">
        <f t="shared" si="85"/>
        <v>3427</v>
      </c>
      <c r="L66" s="12">
        <f t="shared" si="85"/>
        <v>3427</v>
      </c>
      <c r="M66" s="12">
        <f t="shared" si="85"/>
        <v>3427</v>
      </c>
      <c r="N66" s="12">
        <f t="shared" si="85"/>
        <v>3427</v>
      </c>
    </row>
    <row r="67" ht="15.75" customHeight="1">
      <c r="A67" s="45" t="s">
        <v>146</v>
      </c>
      <c r="C67" s="46">
        <f t="shared" ref="C67:N67" si="86">+IFERROR(C66/B66-1,"nm")</f>
        <v>0.1613904407</v>
      </c>
      <c r="D67" s="46">
        <f t="shared" si="86"/>
        <v>-0.1389631213</v>
      </c>
      <c r="E67" s="46">
        <f t="shared" si="86"/>
        <v>0.05710738672</v>
      </c>
      <c r="F67" s="46">
        <f t="shared" si="86"/>
        <v>0.2366412214</v>
      </c>
      <c r="G67" s="46">
        <f t="shared" si="86"/>
        <v>-0.2056030389</v>
      </c>
      <c r="H67" s="46">
        <f t="shared" si="86"/>
        <v>0.5367603108</v>
      </c>
      <c r="I67" s="46">
        <f t="shared" si="86"/>
        <v>0.3329443796</v>
      </c>
      <c r="J67" s="46">
        <f t="shared" si="86"/>
        <v>0</v>
      </c>
      <c r="K67" s="46">
        <f t="shared" si="86"/>
        <v>0</v>
      </c>
      <c r="L67" s="46">
        <f t="shared" si="86"/>
        <v>0</v>
      </c>
      <c r="M67" s="46">
        <f t="shared" si="86"/>
        <v>0</v>
      </c>
      <c r="N67" s="46">
        <f t="shared" si="86"/>
        <v>0</v>
      </c>
    </row>
    <row r="68" ht="15.75" customHeight="1">
      <c r="A68" s="45" t="s">
        <v>148</v>
      </c>
      <c r="B68" s="46">
        <f t="shared" ref="B68:I68" si="87">+IFERROR(B66/B$52,"nm")</f>
        <v>0.2260735335</v>
      </c>
      <c r="C68" s="46">
        <f t="shared" si="87"/>
        <v>0.2472251586</v>
      </c>
      <c r="D68" s="46">
        <f t="shared" si="87"/>
        <v>0.2021329987</v>
      </c>
      <c r="E68" s="46">
        <f t="shared" si="87"/>
        <v>0.1842674746</v>
      </c>
      <c r="F68" s="46">
        <f t="shared" si="87"/>
        <v>0.2146351406</v>
      </c>
      <c r="G68" s="46">
        <f t="shared" si="87"/>
        <v>0.1789879106</v>
      </c>
      <c r="H68" s="46">
        <f t="shared" si="87"/>
        <v>0.2244238827</v>
      </c>
      <c r="I68" s="46">
        <f t="shared" si="87"/>
        <v>0.2746213639</v>
      </c>
      <c r="J68" s="51">
        <f t="shared" ref="J68:N68" si="88">+I68</f>
        <v>0.2746213639</v>
      </c>
      <c r="K68" s="51">
        <f t="shared" si="88"/>
        <v>0.2746213639</v>
      </c>
      <c r="L68" s="51">
        <f t="shared" si="88"/>
        <v>0.2746213639</v>
      </c>
      <c r="M68" s="51">
        <f t="shared" si="88"/>
        <v>0.2746213639</v>
      </c>
      <c r="N68" s="51">
        <f t="shared" si="88"/>
        <v>0.2746213639</v>
      </c>
    </row>
    <row r="69" ht="15.75" customHeight="1">
      <c r="A69" s="12" t="s">
        <v>149</v>
      </c>
      <c r="B69" s="12">
        <f>+Historicals!B172</f>
        <v>87</v>
      </c>
      <c r="C69" s="12">
        <f>+Historicals!C172</f>
        <v>84</v>
      </c>
      <c r="D69" s="12">
        <f>+Historicals!D172</f>
        <v>104</v>
      </c>
      <c r="E69" s="12">
        <f>+Historicals!E172</f>
        <v>116</v>
      </c>
      <c r="F69" s="12">
        <f>+Historicals!F172</f>
        <v>111</v>
      </c>
      <c r="G69" s="12">
        <f>+Historicals!G172</f>
        <v>132</v>
      </c>
      <c r="H69" s="12">
        <f>+Historicals!H172</f>
        <v>136</v>
      </c>
      <c r="I69" s="12">
        <f>+Historicals!I172</f>
        <v>134</v>
      </c>
      <c r="J69" s="12">
        <f t="shared" ref="J69:N69" si="89">+J72*J79</f>
        <v>134</v>
      </c>
      <c r="K69" s="12">
        <f t="shared" si="89"/>
        <v>134</v>
      </c>
      <c r="L69" s="12">
        <f t="shared" si="89"/>
        <v>134</v>
      </c>
      <c r="M69" s="12">
        <f t="shared" si="89"/>
        <v>134</v>
      </c>
      <c r="N69" s="12">
        <f t="shared" si="89"/>
        <v>134</v>
      </c>
    </row>
    <row r="70" ht="15.75" customHeight="1">
      <c r="A70" s="45" t="s">
        <v>146</v>
      </c>
      <c r="C70" s="46">
        <f t="shared" ref="C70:N70" si="90">+IFERROR(C69/B69-1,"nm")</f>
        <v>-0.03448275862</v>
      </c>
      <c r="D70" s="46">
        <f t="shared" si="90"/>
        <v>0.2380952381</v>
      </c>
      <c r="E70" s="46">
        <f t="shared" si="90"/>
        <v>0.1153846154</v>
      </c>
      <c r="F70" s="46">
        <f t="shared" si="90"/>
        <v>-0.04310344828</v>
      </c>
      <c r="G70" s="46">
        <f t="shared" si="90"/>
        <v>0.1891891892</v>
      </c>
      <c r="H70" s="46">
        <f t="shared" si="90"/>
        <v>0.0303030303</v>
      </c>
      <c r="I70" s="46">
        <f t="shared" si="90"/>
        <v>-0.01470588235</v>
      </c>
      <c r="J70" s="46">
        <f t="shared" si="90"/>
        <v>0</v>
      </c>
      <c r="K70" s="46">
        <f t="shared" si="90"/>
        <v>0</v>
      </c>
      <c r="L70" s="46">
        <f t="shared" si="90"/>
        <v>0</v>
      </c>
      <c r="M70" s="46">
        <f t="shared" si="90"/>
        <v>0</v>
      </c>
      <c r="N70" s="46">
        <f t="shared" si="90"/>
        <v>0</v>
      </c>
    </row>
    <row r="71" ht="15.75" customHeight="1">
      <c r="A71" s="45" t="s">
        <v>150</v>
      </c>
      <c r="B71" s="46">
        <f t="shared" ref="B71:N71" si="91">+IFERROR(B69/B$52,"nm")</f>
        <v>0.0122088128</v>
      </c>
      <c r="C71" s="46">
        <f t="shared" si="91"/>
        <v>0.01109936575</v>
      </c>
      <c r="D71" s="46">
        <f t="shared" si="91"/>
        <v>0.0130489335</v>
      </c>
      <c r="E71" s="46">
        <f t="shared" si="91"/>
        <v>0.0125513958</v>
      </c>
      <c r="F71" s="46">
        <f t="shared" si="91"/>
        <v>0.01131267835</v>
      </c>
      <c r="G71" s="46">
        <f t="shared" si="91"/>
        <v>0.01412217824</v>
      </c>
      <c r="H71" s="46">
        <f t="shared" si="91"/>
        <v>0.01187150838</v>
      </c>
      <c r="I71" s="46">
        <f t="shared" si="91"/>
        <v>0.01073803991</v>
      </c>
      <c r="J71" s="52">
        <f t="shared" si="91"/>
        <v>0.01073803991</v>
      </c>
      <c r="K71" s="52">
        <f t="shared" si="91"/>
        <v>0.01073803991</v>
      </c>
      <c r="L71" s="52">
        <f t="shared" si="91"/>
        <v>0.01073803991</v>
      </c>
      <c r="M71" s="52">
        <f t="shared" si="91"/>
        <v>0.01073803991</v>
      </c>
      <c r="N71" s="52">
        <f t="shared" si="91"/>
        <v>0.01073803991</v>
      </c>
    </row>
    <row r="72" ht="15.75" customHeight="1">
      <c r="A72" s="45" t="s">
        <v>157</v>
      </c>
      <c r="B72" s="46">
        <f t="shared" ref="B72:I72" si="92">+IFERROR(B69/B79,"nm")</f>
        <v>0.1746987952</v>
      </c>
      <c r="C72" s="46">
        <f t="shared" si="92"/>
        <v>0.1314553991</v>
      </c>
      <c r="D72" s="46">
        <f t="shared" si="92"/>
        <v>0.1466854725</v>
      </c>
      <c r="E72" s="46">
        <f t="shared" si="92"/>
        <v>0.136631331</v>
      </c>
      <c r="F72" s="46">
        <f t="shared" si="92"/>
        <v>0.1194833154</v>
      </c>
      <c r="G72" s="46">
        <f t="shared" si="92"/>
        <v>0.1491525424</v>
      </c>
      <c r="H72" s="46">
        <f t="shared" si="92"/>
        <v>0.1384928717</v>
      </c>
      <c r="I72" s="46">
        <f t="shared" si="92"/>
        <v>0.1456521739</v>
      </c>
      <c r="J72" s="51">
        <f t="shared" ref="J72:N72" si="93">+I72</f>
        <v>0.1456521739</v>
      </c>
      <c r="K72" s="51">
        <f t="shared" si="93"/>
        <v>0.1456521739</v>
      </c>
      <c r="L72" s="51">
        <f t="shared" si="93"/>
        <v>0.1456521739</v>
      </c>
      <c r="M72" s="51">
        <f t="shared" si="93"/>
        <v>0.1456521739</v>
      </c>
      <c r="N72" s="51">
        <f t="shared" si="93"/>
        <v>0.1456521739</v>
      </c>
    </row>
    <row r="73" ht="15.75" customHeight="1">
      <c r="A73" s="12" t="s">
        <v>151</v>
      </c>
      <c r="B73" s="12">
        <f>+Historicals!B138</f>
        <v>1524</v>
      </c>
      <c r="C73" s="12">
        <f>+Historicals!C138</f>
        <v>1787</v>
      </c>
      <c r="D73" s="12">
        <f>+Historicals!D138</f>
        <v>1507</v>
      </c>
      <c r="E73" s="12">
        <f>+Historicals!E138</f>
        <v>1587</v>
      </c>
      <c r="F73" s="12">
        <f>+Historicals!F138</f>
        <v>1995</v>
      </c>
      <c r="G73" s="12">
        <f>+Historicals!G138</f>
        <v>1541</v>
      </c>
      <c r="H73" s="12">
        <f>+Historicals!H138</f>
        <v>2435</v>
      </c>
      <c r="I73" s="12">
        <f>+Historicals!I138</f>
        <v>3293</v>
      </c>
      <c r="J73" s="12">
        <f t="shared" ref="J73:N73" si="94">+J66-J69</f>
        <v>3293</v>
      </c>
      <c r="K73" s="12">
        <f t="shared" si="94"/>
        <v>3293</v>
      </c>
      <c r="L73" s="12">
        <f t="shared" si="94"/>
        <v>3293</v>
      </c>
      <c r="M73" s="12">
        <f t="shared" si="94"/>
        <v>3293</v>
      </c>
      <c r="N73" s="12">
        <f t="shared" si="94"/>
        <v>3293</v>
      </c>
    </row>
    <row r="74" ht="15.75" customHeight="1">
      <c r="A74" s="45" t="s">
        <v>146</v>
      </c>
      <c r="C74" s="46">
        <f t="shared" ref="C74:N74" si="95">+IFERROR(C73/B73-1,"nm")</f>
        <v>0.1725721785</v>
      </c>
      <c r="D74" s="46">
        <f t="shared" si="95"/>
        <v>-0.1566871852</v>
      </c>
      <c r="E74" s="46">
        <f t="shared" si="95"/>
        <v>0.05308560053</v>
      </c>
      <c r="F74" s="46">
        <f t="shared" si="95"/>
        <v>0.2570888469</v>
      </c>
      <c r="G74" s="46">
        <f t="shared" si="95"/>
        <v>-0.2275689223</v>
      </c>
      <c r="H74" s="46">
        <f t="shared" si="95"/>
        <v>0.5801427644</v>
      </c>
      <c r="I74" s="46">
        <f t="shared" si="95"/>
        <v>0.3523613963</v>
      </c>
      <c r="J74" s="46">
        <f t="shared" si="95"/>
        <v>0</v>
      </c>
      <c r="K74" s="46">
        <f t="shared" si="95"/>
        <v>0</v>
      </c>
      <c r="L74" s="46">
        <f t="shared" si="95"/>
        <v>0</v>
      </c>
      <c r="M74" s="46">
        <f t="shared" si="95"/>
        <v>0</v>
      </c>
      <c r="N74" s="46">
        <f t="shared" si="95"/>
        <v>0</v>
      </c>
    </row>
    <row r="75" ht="15.75" customHeight="1">
      <c r="A75" s="45" t="s">
        <v>148</v>
      </c>
      <c r="B75" s="46">
        <f t="shared" ref="B75:I75" si="96">+IFERROR(B73/B$52,"nm")</f>
        <v>0.2138647207</v>
      </c>
      <c r="C75" s="46">
        <f t="shared" si="96"/>
        <v>0.2361257928</v>
      </c>
      <c r="D75" s="46">
        <f t="shared" si="96"/>
        <v>0.1890840652</v>
      </c>
      <c r="E75" s="46">
        <f t="shared" si="96"/>
        <v>0.1717160788</v>
      </c>
      <c r="F75" s="46">
        <f t="shared" si="96"/>
        <v>0.2033224623</v>
      </c>
      <c r="G75" s="46">
        <f t="shared" si="96"/>
        <v>0.1648657323</v>
      </c>
      <c r="H75" s="46">
        <f t="shared" si="96"/>
        <v>0.2125523743</v>
      </c>
      <c r="I75" s="46">
        <f t="shared" si="96"/>
        <v>0.263883324</v>
      </c>
      <c r="J75" s="52">
        <f t="shared" ref="J75:N75" si="97">+IFERROR(J73/J$52,"nK75m")</f>
        <v>0.263883324</v>
      </c>
      <c r="K75" s="52">
        <f t="shared" si="97"/>
        <v>0.263883324</v>
      </c>
      <c r="L75" s="52">
        <f t="shared" si="97"/>
        <v>0.263883324</v>
      </c>
      <c r="M75" s="52">
        <f t="shared" si="97"/>
        <v>0.263883324</v>
      </c>
      <c r="N75" s="52">
        <f t="shared" si="97"/>
        <v>0.263883324</v>
      </c>
    </row>
    <row r="76" ht="15.75" customHeight="1">
      <c r="A76" s="12" t="s">
        <v>152</v>
      </c>
      <c r="B76" s="12">
        <f>+Historicals!B160</f>
        <v>236</v>
      </c>
      <c r="C76" s="12">
        <f>+Historicals!C160</f>
        <v>232</v>
      </c>
      <c r="D76" s="12">
        <f>+Historicals!D160</f>
        <v>173</v>
      </c>
      <c r="E76" s="12">
        <f>+Historicals!E160</f>
        <v>240</v>
      </c>
      <c r="F76" s="12">
        <f>+Historicals!F160</f>
        <v>233</v>
      </c>
      <c r="G76" s="12">
        <f>+Historicals!G160</f>
        <v>139</v>
      </c>
      <c r="H76" s="12">
        <f>+Historicals!H160</f>
        <v>153</v>
      </c>
      <c r="I76" s="12">
        <f>+Historicals!I160</f>
        <v>197</v>
      </c>
      <c r="J76" s="12">
        <f t="shared" ref="J76:N76" si="98">+J52*J78</f>
        <v>197</v>
      </c>
      <c r="K76" s="12">
        <f t="shared" si="98"/>
        <v>197</v>
      </c>
      <c r="L76" s="12">
        <f t="shared" si="98"/>
        <v>197</v>
      </c>
      <c r="M76" s="12">
        <f t="shared" si="98"/>
        <v>197</v>
      </c>
      <c r="N76" s="12">
        <f t="shared" si="98"/>
        <v>197</v>
      </c>
    </row>
    <row r="77" ht="15.75" customHeight="1">
      <c r="A77" s="45" t="s">
        <v>146</v>
      </c>
      <c r="C77" s="46">
        <f t="shared" ref="C77:N77" si="99">+IFERROR(C76/B76-1,"nm")</f>
        <v>-0.01694915254</v>
      </c>
      <c r="D77" s="46">
        <f t="shared" si="99"/>
        <v>-0.2543103448</v>
      </c>
      <c r="E77" s="46">
        <f t="shared" si="99"/>
        <v>0.387283237</v>
      </c>
      <c r="F77" s="46">
        <f t="shared" si="99"/>
        <v>-0.02916666667</v>
      </c>
      <c r="G77" s="46">
        <f t="shared" si="99"/>
        <v>-0.4034334764</v>
      </c>
      <c r="H77" s="46">
        <f t="shared" si="99"/>
        <v>0.1007194245</v>
      </c>
      <c r="I77" s="46">
        <f t="shared" si="99"/>
        <v>0.2875816993</v>
      </c>
      <c r="J77" s="46">
        <f t="shared" si="99"/>
        <v>0</v>
      </c>
      <c r="K77" s="46">
        <f t="shared" si="99"/>
        <v>0</v>
      </c>
      <c r="L77" s="46">
        <f t="shared" si="99"/>
        <v>0</v>
      </c>
      <c r="M77" s="46">
        <f t="shared" si="99"/>
        <v>0</v>
      </c>
      <c r="N77" s="46">
        <f t="shared" si="99"/>
        <v>0</v>
      </c>
    </row>
    <row r="78" ht="15.75" customHeight="1">
      <c r="A78" s="45" t="s">
        <v>150</v>
      </c>
      <c r="B78" s="46">
        <f t="shared" ref="B78:I78" si="100">+IFERROR(B76/B$52,"nm")</f>
        <v>0.03311815885</v>
      </c>
      <c r="C78" s="46">
        <f t="shared" si="100"/>
        <v>0.03065539112</v>
      </c>
      <c r="D78" s="46">
        <f t="shared" si="100"/>
        <v>0.021706399</v>
      </c>
      <c r="E78" s="46">
        <f t="shared" si="100"/>
        <v>0.02596840511</v>
      </c>
      <c r="F78" s="46">
        <f t="shared" si="100"/>
        <v>0.02374643294</v>
      </c>
      <c r="G78" s="46">
        <f t="shared" si="100"/>
        <v>0.01487108163</v>
      </c>
      <c r="H78" s="46">
        <f t="shared" si="100"/>
        <v>0.01335544693</v>
      </c>
      <c r="I78" s="46">
        <f t="shared" si="100"/>
        <v>0.01578652136</v>
      </c>
      <c r="J78" s="51">
        <f t="shared" ref="J78:N78" si="101">+I78</f>
        <v>0.01578652136</v>
      </c>
      <c r="K78" s="51">
        <f t="shared" si="101"/>
        <v>0.01578652136</v>
      </c>
      <c r="L78" s="51">
        <f t="shared" si="101"/>
        <v>0.01578652136</v>
      </c>
      <c r="M78" s="51">
        <f t="shared" si="101"/>
        <v>0.01578652136</v>
      </c>
      <c r="N78" s="51">
        <f t="shared" si="101"/>
        <v>0.01578652136</v>
      </c>
    </row>
    <row r="79" ht="15.75" customHeight="1">
      <c r="A79" s="12" t="s">
        <v>153</v>
      </c>
      <c r="B79" s="12">
        <f>+Historicals!B149</f>
        <v>498</v>
      </c>
      <c r="C79" s="12">
        <f>+Historicals!C149</f>
        <v>639</v>
      </c>
      <c r="D79" s="12">
        <f>+Historicals!D149</f>
        <v>709</v>
      </c>
      <c r="E79" s="12">
        <f>+Historicals!E149</f>
        <v>849</v>
      </c>
      <c r="F79" s="12">
        <f>+Historicals!F149</f>
        <v>929</v>
      </c>
      <c r="G79" s="12">
        <f>+Historicals!G149</f>
        <v>885</v>
      </c>
      <c r="H79" s="12">
        <f>+Historicals!H149</f>
        <v>982</v>
      </c>
      <c r="I79" s="12">
        <f>+Historicals!I149</f>
        <v>920</v>
      </c>
      <c r="J79" s="12">
        <f t="shared" ref="J79:N79" si="102">+J52*J81</f>
        <v>920</v>
      </c>
      <c r="K79" s="12">
        <f t="shared" si="102"/>
        <v>920</v>
      </c>
      <c r="L79" s="12">
        <f t="shared" si="102"/>
        <v>920</v>
      </c>
      <c r="M79" s="12">
        <f t="shared" si="102"/>
        <v>920</v>
      </c>
      <c r="N79" s="12">
        <f t="shared" si="102"/>
        <v>920</v>
      </c>
    </row>
    <row r="80" ht="15.75" customHeight="1">
      <c r="A80" s="45" t="s">
        <v>146</v>
      </c>
      <c r="C80" s="46">
        <f t="shared" ref="C80:I80" si="103">+IFERROR(C79/B79-1,"nm")</f>
        <v>0.2831325301</v>
      </c>
      <c r="D80" s="46">
        <f t="shared" si="103"/>
        <v>0.1095461659</v>
      </c>
      <c r="E80" s="46">
        <f t="shared" si="103"/>
        <v>0.197461213</v>
      </c>
      <c r="F80" s="46">
        <f t="shared" si="103"/>
        <v>0.09422850412</v>
      </c>
      <c r="G80" s="46">
        <f t="shared" si="103"/>
        <v>-0.04736275565</v>
      </c>
      <c r="H80" s="46">
        <f t="shared" si="103"/>
        <v>0.1096045198</v>
      </c>
      <c r="I80" s="46">
        <f t="shared" si="103"/>
        <v>-0.06313645621</v>
      </c>
      <c r="J80" s="46">
        <f t="shared" ref="J80:N80" si="104">+J81+J82</f>
        <v>0.07372385608</v>
      </c>
      <c r="K80" s="46">
        <f t="shared" si="104"/>
        <v>0.07372385608</v>
      </c>
      <c r="L80" s="46">
        <f t="shared" si="104"/>
        <v>0.07372385608</v>
      </c>
      <c r="M80" s="46">
        <f t="shared" si="104"/>
        <v>0.07372385608</v>
      </c>
      <c r="N80" s="46">
        <f t="shared" si="104"/>
        <v>0.07372385608</v>
      </c>
    </row>
    <row r="81" ht="15.75" customHeight="1">
      <c r="A81" s="45" t="s">
        <v>150</v>
      </c>
      <c r="B81" s="46">
        <f t="shared" ref="B81:I81" si="105">+IFERROR(B79/B$52,"nm")</f>
        <v>0.06988492843</v>
      </c>
      <c r="C81" s="46">
        <f t="shared" si="105"/>
        <v>0.08443446089</v>
      </c>
      <c r="D81" s="46">
        <f t="shared" si="105"/>
        <v>0.08895859473</v>
      </c>
      <c r="E81" s="46">
        <f t="shared" si="105"/>
        <v>0.09186323307</v>
      </c>
      <c r="F81" s="46">
        <f t="shared" si="105"/>
        <v>0.09467998369</v>
      </c>
      <c r="G81" s="46">
        <f t="shared" si="105"/>
        <v>0.09468278592</v>
      </c>
      <c r="H81" s="46">
        <f t="shared" si="105"/>
        <v>0.08571927374</v>
      </c>
      <c r="I81" s="46">
        <f t="shared" si="105"/>
        <v>0.07372385608</v>
      </c>
      <c r="J81" s="51">
        <f t="shared" ref="J81:N81" si="106">+I81</f>
        <v>0.07372385608</v>
      </c>
      <c r="K81" s="51">
        <f t="shared" si="106"/>
        <v>0.07372385608</v>
      </c>
      <c r="L81" s="51">
        <f t="shared" si="106"/>
        <v>0.07372385608</v>
      </c>
      <c r="M81" s="51">
        <f t="shared" si="106"/>
        <v>0.07372385608</v>
      </c>
      <c r="N81" s="51">
        <f t="shared" si="106"/>
        <v>0.07372385608</v>
      </c>
    </row>
    <row r="82" ht="15.75" customHeight="1">
      <c r="A82" s="48" t="str">
        <f>+Historicals!A191</f>
        <v>Greater China</v>
      </c>
      <c r="B82" s="49"/>
      <c r="C82" s="49"/>
      <c r="D82" s="49"/>
      <c r="E82" s="49"/>
      <c r="F82" s="49"/>
      <c r="G82" s="49"/>
      <c r="H82" s="49"/>
      <c r="I82" s="49"/>
      <c r="J82" s="43"/>
      <c r="K82" s="43"/>
      <c r="L82" s="43"/>
      <c r="M82" s="43"/>
      <c r="N82" s="43"/>
    </row>
    <row r="83" ht="15.75" customHeight="1">
      <c r="A83" s="12" t="s">
        <v>154</v>
      </c>
      <c r="B83" s="12">
        <f t="shared" ref="B83:I83" si="107">B85+B89+B93</f>
        <v>3067</v>
      </c>
      <c r="C83" s="12">
        <f t="shared" si="107"/>
        <v>3785</v>
      </c>
      <c r="D83" s="12">
        <f t="shared" si="107"/>
        <v>4237</v>
      </c>
      <c r="E83" s="12">
        <f t="shared" si="107"/>
        <v>5134</v>
      </c>
      <c r="F83" s="12">
        <f t="shared" si="107"/>
        <v>6208</v>
      </c>
      <c r="G83" s="12">
        <f t="shared" si="107"/>
        <v>6679</v>
      </c>
      <c r="H83" s="12">
        <f t="shared" si="107"/>
        <v>8290</v>
      </c>
      <c r="I83" s="12">
        <f t="shared" si="107"/>
        <v>7547</v>
      </c>
      <c r="J83" s="12">
        <f t="shared" ref="J83:N83" si="108">+SUM(J85+J89+J93)</f>
        <v>7547</v>
      </c>
      <c r="K83" s="12">
        <f t="shared" si="108"/>
        <v>7547</v>
      </c>
      <c r="L83" s="12">
        <f t="shared" si="108"/>
        <v>7547</v>
      </c>
      <c r="M83" s="12">
        <f t="shared" si="108"/>
        <v>7547</v>
      </c>
      <c r="N83" s="12">
        <f t="shared" si="108"/>
        <v>7547</v>
      </c>
    </row>
    <row r="84" ht="15.75" customHeight="1">
      <c r="A84" s="45" t="s">
        <v>146</v>
      </c>
      <c r="C84" s="46">
        <f t="shared" ref="C84:N84" si="109">+IFERROR(C83/B83-1,"nm")</f>
        <v>0.2341049886</v>
      </c>
      <c r="D84" s="46">
        <f t="shared" si="109"/>
        <v>0.1194187583</v>
      </c>
      <c r="E84" s="46">
        <f t="shared" si="109"/>
        <v>0.211706396</v>
      </c>
      <c r="F84" s="46">
        <f t="shared" si="109"/>
        <v>0.2091936112</v>
      </c>
      <c r="G84" s="46">
        <f t="shared" si="109"/>
        <v>0.07586984536</v>
      </c>
      <c r="H84" s="46">
        <f t="shared" si="109"/>
        <v>0.241203773</v>
      </c>
      <c r="I84" s="46">
        <f t="shared" si="109"/>
        <v>-0.08962605549</v>
      </c>
      <c r="J84" s="46">
        <f t="shared" si="109"/>
        <v>0</v>
      </c>
      <c r="K84" s="46">
        <f t="shared" si="109"/>
        <v>0</v>
      </c>
      <c r="L84" s="46">
        <f t="shared" si="109"/>
        <v>0</v>
      </c>
      <c r="M84" s="46">
        <f t="shared" si="109"/>
        <v>0</v>
      </c>
      <c r="N84" s="46">
        <f t="shared" si="109"/>
        <v>0</v>
      </c>
    </row>
    <row r="85" ht="15.75" customHeight="1">
      <c r="A85" s="50" t="s">
        <v>117</v>
      </c>
      <c r="B85" s="12">
        <f>+Historicals!B119</f>
        <v>2016</v>
      </c>
      <c r="C85" s="12">
        <f>+Historicals!C119</f>
        <v>2599</v>
      </c>
      <c r="D85" s="12">
        <f>+Historicals!D119</f>
        <v>2920</v>
      </c>
      <c r="E85" s="12">
        <f>+Historicals!E119</f>
        <v>3496</v>
      </c>
      <c r="F85" s="12">
        <f>+Historicals!F119</f>
        <v>4262</v>
      </c>
      <c r="G85" s="12">
        <f>+Historicals!G119</f>
        <v>4635</v>
      </c>
      <c r="H85" s="12">
        <f>+Historicals!H119</f>
        <v>5748</v>
      </c>
      <c r="I85" s="12">
        <f>+Historicals!I119</f>
        <v>5416</v>
      </c>
      <c r="J85" s="12">
        <f t="shared" ref="J85:N85" si="110">+I85*(1+J86)</f>
        <v>5416</v>
      </c>
      <c r="K85" s="12">
        <f t="shared" si="110"/>
        <v>5416</v>
      </c>
      <c r="L85" s="12">
        <f t="shared" si="110"/>
        <v>5416</v>
      </c>
      <c r="M85" s="12">
        <f t="shared" si="110"/>
        <v>5416</v>
      </c>
      <c r="N85" s="12">
        <f t="shared" si="110"/>
        <v>5416</v>
      </c>
    </row>
    <row r="86" ht="15.75" customHeight="1">
      <c r="A86" s="45" t="s">
        <v>146</v>
      </c>
      <c r="C86" s="46">
        <f t="shared" ref="C86:I86" si="111">+IFERROR(C85/B85-1,"nm")</f>
        <v>0.2891865079</v>
      </c>
      <c r="D86" s="46">
        <f t="shared" si="111"/>
        <v>0.1235090419</v>
      </c>
      <c r="E86" s="46">
        <f t="shared" si="111"/>
        <v>0.197260274</v>
      </c>
      <c r="F86" s="46">
        <f t="shared" si="111"/>
        <v>0.2191075515</v>
      </c>
      <c r="G86" s="46">
        <f t="shared" si="111"/>
        <v>0.08751759737</v>
      </c>
      <c r="H86" s="46">
        <f t="shared" si="111"/>
        <v>0.2401294498</v>
      </c>
      <c r="I86" s="46">
        <f t="shared" si="111"/>
        <v>-0.0577592206</v>
      </c>
      <c r="J86" s="46">
        <f t="shared" ref="J86:N86" si="112">+J87+J88</f>
        <v>0</v>
      </c>
      <c r="K86" s="46">
        <f t="shared" si="112"/>
        <v>0</v>
      </c>
      <c r="L86" s="46">
        <f t="shared" si="112"/>
        <v>0</v>
      </c>
      <c r="M86" s="46">
        <f t="shared" si="112"/>
        <v>0</v>
      </c>
      <c r="N86" s="46">
        <f t="shared" si="112"/>
        <v>0</v>
      </c>
    </row>
    <row r="87" ht="15.75" customHeight="1">
      <c r="A87" s="45" t="s">
        <v>155</v>
      </c>
      <c r="B87" s="46">
        <f>+Historicals!B192</f>
        <v>0.28</v>
      </c>
      <c r="C87" s="46">
        <f>+Historicals!C192</f>
        <v>0.33</v>
      </c>
      <c r="D87" s="46">
        <f>+Historicals!D192</f>
        <v>0.18</v>
      </c>
      <c r="E87" s="46">
        <f>+Historicals!E192</f>
        <v>0.16</v>
      </c>
      <c r="F87" s="46">
        <f>+Historicals!F192</f>
        <v>0.25</v>
      </c>
      <c r="G87" s="46">
        <f>+Historicals!G192</f>
        <v>0.12</v>
      </c>
      <c r="H87" s="46">
        <f>+Historicals!H192</f>
        <v>0.19</v>
      </c>
      <c r="I87" s="46">
        <f>+Historicals!I192</f>
        <v>-0.1</v>
      </c>
      <c r="J87" s="51">
        <v>0.0</v>
      </c>
      <c r="K87" s="51">
        <f t="shared" ref="K87:N87" si="113">+J87</f>
        <v>0</v>
      </c>
      <c r="L87" s="51">
        <f t="shared" si="113"/>
        <v>0</v>
      </c>
      <c r="M87" s="51">
        <f t="shared" si="113"/>
        <v>0</v>
      </c>
      <c r="N87" s="51">
        <f t="shared" si="113"/>
        <v>0</v>
      </c>
    </row>
    <row r="88" ht="15.75" customHeight="1">
      <c r="A88" s="45" t="s">
        <v>156</v>
      </c>
      <c r="C88" s="46">
        <f t="shared" ref="C88:I88" si="114">+IFERROR(C86-C87,"nm")</f>
        <v>-0.04081349206</v>
      </c>
      <c r="D88" s="46">
        <f t="shared" si="114"/>
        <v>-0.05649095806</v>
      </c>
      <c r="E88" s="46">
        <f t="shared" si="114"/>
        <v>0.03726027397</v>
      </c>
      <c r="F88" s="46">
        <f t="shared" si="114"/>
        <v>-0.03089244851</v>
      </c>
      <c r="G88" s="46">
        <f t="shared" si="114"/>
        <v>-0.03248240263</v>
      </c>
      <c r="H88" s="46">
        <f t="shared" si="114"/>
        <v>0.05012944984</v>
      </c>
      <c r="I88" s="46">
        <f t="shared" si="114"/>
        <v>0.0422407794</v>
      </c>
      <c r="J88" s="51">
        <v>0.0</v>
      </c>
      <c r="K88" s="51">
        <f t="shared" ref="K88:N88" si="115">+J88</f>
        <v>0</v>
      </c>
      <c r="L88" s="51">
        <f t="shared" si="115"/>
        <v>0</v>
      </c>
      <c r="M88" s="51">
        <f t="shared" si="115"/>
        <v>0</v>
      </c>
      <c r="N88" s="51">
        <f t="shared" si="115"/>
        <v>0</v>
      </c>
    </row>
    <row r="89" ht="15.75" customHeight="1">
      <c r="A89" s="50" t="s">
        <v>118</v>
      </c>
      <c r="B89" s="12">
        <f>+Historicals!B120</f>
        <v>925</v>
      </c>
      <c r="C89" s="12">
        <f>+Historicals!C120</f>
        <v>1055</v>
      </c>
      <c r="D89" s="12">
        <f>+Historicals!D120</f>
        <v>1188</v>
      </c>
      <c r="E89" s="12">
        <f>+Historicals!E120</f>
        <v>1508</v>
      </c>
      <c r="F89" s="12">
        <f>+Historicals!F120</f>
        <v>1808</v>
      </c>
      <c r="G89" s="12">
        <f>+Historicals!G120</f>
        <v>1896</v>
      </c>
      <c r="H89" s="12">
        <f>+Historicals!H120</f>
        <v>2347</v>
      </c>
      <c r="I89" s="12">
        <f>+Historicals!I120</f>
        <v>1938</v>
      </c>
      <c r="J89" s="12">
        <f t="shared" ref="J89:N89" si="116">+I89*(1+J90)</f>
        <v>1938</v>
      </c>
      <c r="K89" s="12">
        <f t="shared" si="116"/>
        <v>1938</v>
      </c>
      <c r="L89" s="12">
        <f t="shared" si="116"/>
        <v>1938</v>
      </c>
      <c r="M89" s="12">
        <f t="shared" si="116"/>
        <v>1938</v>
      </c>
      <c r="N89" s="12">
        <f t="shared" si="116"/>
        <v>1938</v>
      </c>
    </row>
    <row r="90" ht="15.75" customHeight="1">
      <c r="A90" s="45" t="s">
        <v>146</v>
      </c>
      <c r="C90" s="46">
        <f t="shared" ref="C90:I90" si="117">+IFERROR(C89/B89-1,"nm")</f>
        <v>0.1405405405</v>
      </c>
      <c r="D90" s="46">
        <f t="shared" si="117"/>
        <v>0.1260663507</v>
      </c>
      <c r="E90" s="46">
        <f t="shared" si="117"/>
        <v>0.2693602694</v>
      </c>
      <c r="F90" s="46">
        <f t="shared" si="117"/>
        <v>0.198938992</v>
      </c>
      <c r="G90" s="46">
        <f t="shared" si="117"/>
        <v>0.04867256637</v>
      </c>
      <c r="H90" s="46">
        <f t="shared" si="117"/>
        <v>0.2378691983</v>
      </c>
      <c r="I90" s="46">
        <f t="shared" si="117"/>
        <v>-0.1742650192</v>
      </c>
      <c r="J90" s="46">
        <f t="shared" ref="J90:N90" si="118">+J91+J92</f>
        <v>0</v>
      </c>
      <c r="K90" s="46">
        <f t="shared" si="118"/>
        <v>0</v>
      </c>
      <c r="L90" s="46">
        <f t="shared" si="118"/>
        <v>0</v>
      </c>
      <c r="M90" s="46">
        <f t="shared" si="118"/>
        <v>0</v>
      </c>
      <c r="N90" s="46">
        <f t="shared" si="118"/>
        <v>0</v>
      </c>
    </row>
    <row r="91" ht="15.75" customHeight="1">
      <c r="A91" s="45" t="s">
        <v>155</v>
      </c>
      <c r="B91" s="46">
        <f>+Historicals!B193</f>
        <v>0.07</v>
      </c>
      <c r="C91" s="46">
        <f>+Historicals!C193</f>
        <v>0.17</v>
      </c>
      <c r="D91" s="46">
        <f>+Historicals!D193</f>
        <v>0.18</v>
      </c>
      <c r="E91" s="46">
        <f>+Historicals!E193</f>
        <v>0.23</v>
      </c>
      <c r="F91" s="46">
        <f>+Historicals!F193</f>
        <v>0.23</v>
      </c>
      <c r="G91" s="46">
        <f>+Historicals!G193</f>
        <v>0.08</v>
      </c>
      <c r="H91" s="46">
        <f>+Historicals!H193</f>
        <v>0.19</v>
      </c>
      <c r="I91" s="46">
        <f>+Historicals!I193</f>
        <v>-0.21</v>
      </c>
      <c r="J91" s="51">
        <v>0.0</v>
      </c>
      <c r="K91" s="51">
        <f t="shared" ref="K91:N91" si="119">+J91</f>
        <v>0</v>
      </c>
      <c r="L91" s="51">
        <f t="shared" si="119"/>
        <v>0</v>
      </c>
      <c r="M91" s="51">
        <f t="shared" si="119"/>
        <v>0</v>
      </c>
      <c r="N91" s="51">
        <f t="shared" si="119"/>
        <v>0</v>
      </c>
    </row>
    <row r="92" ht="15.75" customHeight="1">
      <c r="A92" s="45" t="s">
        <v>156</v>
      </c>
      <c r="C92" s="46">
        <f t="shared" ref="C92:I92" si="120">+IFERROR(C90-C91,"nm")</f>
        <v>-0.02945945946</v>
      </c>
      <c r="D92" s="46">
        <f t="shared" si="120"/>
        <v>-0.05393364929</v>
      </c>
      <c r="E92" s="46">
        <f t="shared" si="120"/>
        <v>0.03936026936</v>
      </c>
      <c r="F92" s="46">
        <f t="shared" si="120"/>
        <v>-0.03106100796</v>
      </c>
      <c r="G92" s="46">
        <f t="shared" si="120"/>
        <v>-0.03132743363</v>
      </c>
      <c r="H92" s="46">
        <f t="shared" si="120"/>
        <v>0.04786919831</v>
      </c>
      <c r="I92" s="46">
        <f t="shared" si="120"/>
        <v>0.03573498083</v>
      </c>
      <c r="J92" s="51">
        <v>0.0</v>
      </c>
      <c r="K92" s="51">
        <f t="shared" ref="K92:N92" si="121">+J92</f>
        <v>0</v>
      </c>
      <c r="L92" s="51">
        <f t="shared" si="121"/>
        <v>0</v>
      </c>
      <c r="M92" s="51">
        <f t="shared" si="121"/>
        <v>0</v>
      </c>
      <c r="N92" s="51">
        <f t="shared" si="121"/>
        <v>0</v>
      </c>
    </row>
    <row r="93" ht="15.75" customHeight="1">
      <c r="A93" s="50" t="s">
        <v>119</v>
      </c>
      <c r="B93" s="12">
        <f>+Historicals!B121</f>
        <v>126</v>
      </c>
      <c r="C93" s="12">
        <f>+Historicals!C121</f>
        <v>131</v>
      </c>
      <c r="D93" s="12">
        <f>+Historicals!D121</f>
        <v>129</v>
      </c>
      <c r="E93" s="12">
        <f>+Historicals!E121</f>
        <v>130</v>
      </c>
      <c r="F93" s="12">
        <f>+Historicals!F121</f>
        <v>138</v>
      </c>
      <c r="G93" s="12">
        <f>+Historicals!G121</f>
        <v>148</v>
      </c>
      <c r="H93" s="12">
        <f>+Historicals!H121</f>
        <v>195</v>
      </c>
      <c r="I93" s="12">
        <f>+Historicals!I121</f>
        <v>193</v>
      </c>
      <c r="J93" s="12">
        <f t="shared" ref="J93:N93" si="122">+I93*(1+J94)</f>
        <v>193</v>
      </c>
      <c r="K93" s="12">
        <f t="shared" si="122"/>
        <v>193</v>
      </c>
      <c r="L93" s="12">
        <f t="shared" si="122"/>
        <v>193</v>
      </c>
      <c r="M93" s="12">
        <f t="shared" si="122"/>
        <v>193</v>
      </c>
      <c r="N93" s="12">
        <f t="shared" si="122"/>
        <v>193</v>
      </c>
    </row>
    <row r="94" ht="15.75" customHeight="1">
      <c r="A94" s="45" t="s">
        <v>146</v>
      </c>
      <c r="C94" s="46">
        <f t="shared" ref="C94:I94" si="123">+IFERROR(C93/B93-1,"nm")</f>
        <v>0.03968253968</v>
      </c>
      <c r="D94" s="46">
        <f t="shared" si="123"/>
        <v>-0.01526717557</v>
      </c>
      <c r="E94" s="46">
        <f t="shared" si="123"/>
        <v>0.007751937984</v>
      </c>
      <c r="F94" s="46">
        <f t="shared" si="123"/>
        <v>0.06153846154</v>
      </c>
      <c r="G94" s="46">
        <f t="shared" si="123"/>
        <v>0.07246376812</v>
      </c>
      <c r="H94" s="46">
        <f t="shared" si="123"/>
        <v>0.3175675676</v>
      </c>
      <c r="I94" s="46">
        <f t="shared" si="123"/>
        <v>-0.01025641026</v>
      </c>
      <c r="J94" s="46">
        <f t="shared" ref="J94:N94" si="124">+J95+J96</f>
        <v>0</v>
      </c>
      <c r="K94" s="46">
        <f t="shared" si="124"/>
        <v>0</v>
      </c>
      <c r="L94" s="46">
        <f t="shared" si="124"/>
        <v>0</v>
      </c>
      <c r="M94" s="46">
        <f t="shared" si="124"/>
        <v>0</v>
      </c>
      <c r="N94" s="46">
        <f t="shared" si="124"/>
        <v>0</v>
      </c>
    </row>
    <row r="95" ht="15.75" customHeight="1">
      <c r="A95" s="45" t="s">
        <v>155</v>
      </c>
      <c r="B95" s="46">
        <f>+Historicals!B194</f>
        <v>0.01</v>
      </c>
      <c r="C95" s="46">
        <f>+Historicals!C194</f>
        <v>0.07</v>
      </c>
      <c r="D95" s="46">
        <f>+Historicals!D194</f>
        <v>0.03</v>
      </c>
      <c r="E95" s="46">
        <f>+Historicals!E194</f>
        <v>-0.01</v>
      </c>
      <c r="F95" s="46">
        <f>+Historicals!F194</f>
        <v>0.08</v>
      </c>
      <c r="G95" s="46">
        <f>+Historicals!G194</f>
        <v>0.11</v>
      </c>
      <c r="H95" s="46">
        <f>+Historicals!H194</f>
        <v>0.26</v>
      </c>
      <c r="I95" s="46">
        <f>+Historicals!I194</f>
        <v>-0.06</v>
      </c>
      <c r="J95" s="51">
        <v>0.0</v>
      </c>
      <c r="K95" s="51">
        <f t="shared" ref="K95:N95" si="125">+J95</f>
        <v>0</v>
      </c>
      <c r="L95" s="51">
        <f t="shared" si="125"/>
        <v>0</v>
      </c>
      <c r="M95" s="51">
        <f t="shared" si="125"/>
        <v>0</v>
      </c>
      <c r="N95" s="51">
        <f t="shared" si="125"/>
        <v>0</v>
      </c>
    </row>
    <row r="96" ht="15.75" customHeight="1">
      <c r="A96" s="45" t="s">
        <v>156</v>
      </c>
      <c r="C96" s="46">
        <f t="shared" ref="C96:I96" si="126">+IFERROR(C94-C95,"nm")</f>
        <v>-0.03031746032</v>
      </c>
      <c r="D96" s="46">
        <f t="shared" si="126"/>
        <v>-0.04526717557</v>
      </c>
      <c r="E96" s="46">
        <f t="shared" si="126"/>
        <v>0.01775193798</v>
      </c>
      <c r="F96" s="46">
        <f t="shared" si="126"/>
        <v>-0.01846153846</v>
      </c>
      <c r="G96" s="46">
        <f t="shared" si="126"/>
        <v>-0.03753623188</v>
      </c>
      <c r="H96" s="46">
        <f t="shared" si="126"/>
        <v>0.05756756757</v>
      </c>
      <c r="I96" s="46">
        <f t="shared" si="126"/>
        <v>0.04974358974</v>
      </c>
      <c r="J96" s="51">
        <v>0.0</v>
      </c>
      <c r="K96" s="51">
        <f t="shared" ref="K96:N96" si="127">+J96</f>
        <v>0</v>
      </c>
      <c r="L96" s="51">
        <f t="shared" si="127"/>
        <v>0</v>
      </c>
      <c r="M96" s="51">
        <f t="shared" si="127"/>
        <v>0</v>
      </c>
      <c r="N96" s="51">
        <f t="shared" si="127"/>
        <v>0</v>
      </c>
    </row>
    <row r="97" ht="15.75" customHeight="1">
      <c r="A97" s="12" t="s">
        <v>147</v>
      </c>
      <c r="B97" s="12">
        <f t="shared" ref="B97:I97" si="128">+B104+B100</f>
        <v>1039</v>
      </c>
      <c r="C97" s="12">
        <f t="shared" si="128"/>
        <v>1420</v>
      </c>
      <c r="D97" s="12">
        <f t="shared" si="128"/>
        <v>1561</v>
      </c>
      <c r="E97" s="12">
        <f t="shared" si="128"/>
        <v>1863</v>
      </c>
      <c r="F97" s="12">
        <f t="shared" si="128"/>
        <v>2426</v>
      </c>
      <c r="G97" s="12">
        <f t="shared" si="128"/>
        <v>2534</v>
      </c>
      <c r="H97" s="12">
        <f t="shared" si="128"/>
        <v>3289</v>
      </c>
      <c r="I97" s="12">
        <f t="shared" si="128"/>
        <v>2406</v>
      </c>
      <c r="J97" s="12">
        <f t="shared" ref="J97:N97" si="129">+J83*J99</f>
        <v>2406</v>
      </c>
      <c r="K97" s="12">
        <f t="shared" si="129"/>
        <v>2406</v>
      </c>
      <c r="L97" s="12">
        <f t="shared" si="129"/>
        <v>2406</v>
      </c>
      <c r="M97" s="12">
        <f t="shared" si="129"/>
        <v>2406</v>
      </c>
      <c r="N97" s="12">
        <f t="shared" si="129"/>
        <v>2406</v>
      </c>
    </row>
    <row r="98" ht="15.75" customHeight="1">
      <c r="A98" s="45" t="s">
        <v>146</v>
      </c>
      <c r="C98" s="46">
        <f t="shared" ref="C98:N98" si="130">+IFERROR(C97/B97-1,"nm")</f>
        <v>0.3666987488</v>
      </c>
      <c r="D98" s="46">
        <f t="shared" si="130"/>
        <v>0.09929577465</v>
      </c>
      <c r="E98" s="46">
        <f t="shared" si="130"/>
        <v>0.1934657271</v>
      </c>
      <c r="F98" s="46">
        <f t="shared" si="130"/>
        <v>0.3022007515</v>
      </c>
      <c r="G98" s="46">
        <f t="shared" si="130"/>
        <v>0.04451772465</v>
      </c>
      <c r="H98" s="46">
        <f t="shared" si="130"/>
        <v>0.2979479084</v>
      </c>
      <c r="I98" s="46">
        <f t="shared" si="130"/>
        <v>-0.2684706598</v>
      </c>
      <c r="J98" s="46">
        <f t="shared" si="130"/>
        <v>0</v>
      </c>
      <c r="K98" s="46">
        <f t="shared" si="130"/>
        <v>0</v>
      </c>
      <c r="L98" s="46">
        <f t="shared" si="130"/>
        <v>0</v>
      </c>
      <c r="M98" s="46">
        <f t="shared" si="130"/>
        <v>0</v>
      </c>
      <c r="N98" s="46">
        <f t="shared" si="130"/>
        <v>0</v>
      </c>
    </row>
    <row r="99" ht="15.75" customHeight="1">
      <c r="A99" s="45" t="s">
        <v>148</v>
      </c>
      <c r="B99" s="46">
        <f t="shared" ref="B99:I99" si="131">+IFERROR(B97/B$83,"nm")</f>
        <v>0.3387675253</v>
      </c>
      <c r="C99" s="46">
        <f t="shared" si="131"/>
        <v>0.3751651255</v>
      </c>
      <c r="D99" s="46">
        <f t="shared" si="131"/>
        <v>0.3684210526</v>
      </c>
      <c r="E99" s="46">
        <f t="shared" si="131"/>
        <v>0.3628749513</v>
      </c>
      <c r="F99" s="46">
        <f t="shared" si="131"/>
        <v>0.3907860825</v>
      </c>
      <c r="G99" s="46">
        <f t="shared" si="131"/>
        <v>0.3793981135</v>
      </c>
      <c r="H99" s="46">
        <f t="shared" si="131"/>
        <v>0.3967430639</v>
      </c>
      <c r="I99" s="46">
        <f t="shared" si="131"/>
        <v>0.318802173</v>
      </c>
      <c r="J99" s="51">
        <f t="shared" ref="J99:N99" si="132">+I99</f>
        <v>0.318802173</v>
      </c>
      <c r="K99" s="51">
        <f t="shared" si="132"/>
        <v>0.318802173</v>
      </c>
      <c r="L99" s="51">
        <f t="shared" si="132"/>
        <v>0.318802173</v>
      </c>
      <c r="M99" s="51">
        <f t="shared" si="132"/>
        <v>0.318802173</v>
      </c>
      <c r="N99" s="51">
        <f t="shared" si="132"/>
        <v>0.318802173</v>
      </c>
    </row>
    <row r="100" ht="15.75" customHeight="1">
      <c r="A100" s="12" t="s">
        <v>149</v>
      </c>
      <c r="B100" s="12">
        <f>+Historicals!B173</f>
        <v>46</v>
      </c>
      <c r="C100" s="12">
        <f>+Historicals!C173</f>
        <v>48</v>
      </c>
      <c r="D100" s="12">
        <f>+Historicals!D173</f>
        <v>54</v>
      </c>
      <c r="E100" s="12">
        <f>+Historicals!E173</f>
        <v>56</v>
      </c>
      <c r="F100" s="12">
        <f>+Historicals!F173</f>
        <v>50</v>
      </c>
      <c r="G100" s="12">
        <f>+Historicals!G173</f>
        <v>44</v>
      </c>
      <c r="H100" s="12">
        <f>+Historicals!H173</f>
        <v>46</v>
      </c>
      <c r="I100" s="12">
        <f>+Historicals!I173</f>
        <v>41</v>
      </c>
      <c r="J100" s="12">
        <f t="shared" ref="J100:N100" si="133">+J103*J110</f>
        <v>41</v>
      </c>
      <c r="K100" s="12">
        <f t="shared" si="133"/>
        <v>41</v>
      </c>
      <c r="L100" s="12">
        <f t="shared" si="133"/>
        <v>41</v>
      </c>
      <c r="M100" s="12">
        <f t="shared" si="133"/>
        <v>41</v>
      </c>
      <c r="N100" s="12">
        <f t="shared" si="133"/>
        <v>41</v>
      </c>
    </row>
    <row r="101" ht="15.75" customHeight="1">
      <c r="A101" s="45" t="s">
        <v>146</v>
      </c>
      <c r="C101" s="46">
        <f t="shared" ref="C101:N101" si="134">+IFERROR(C100/B100-1,"nm")</f>
        <v>0.04347826087</v>
      </c>
      <c r="D101" s="46">
        <f t="shared" si="134"/>
        <v>0.125</v>
      </c>
      <c r="E101" s="46">
        <f t="shared" si="134"/>
        <v>0.03703703704</v>
      </c>
      <c r="F101" s="46">
        <f t="shared" si="134"/>
        <v>-0.1071428571</v>
      </c>
      <c r="G101" s="46">
        <f t="shared" si="134"/>
        <v>-0.12</v>
      </c>
      <c r="H101" s="46">
        <f t="shared" si="134"/>
        <v>0.04545454545</v>
      </c>
      <c r="I101" s="46">
        <f t="shared" si="134"/>
        <v>-0.1086956522</v>
      </c>
      <c r="J101" s="46">
        <f t="shared" si="134"/>
        <v>0</v>
      </c>
      <c r="K101" s="46">
        <f t="shared" si="134"/>
        <v>0</v>
      </c>
      <c r="L101" s="46">
        <f t="shared" si="134"/>
        <v>0</v>
      </c>
      <c r="M101" s="46">
        <f t="shared" si="134"/>
        <v>0</v>
      </c>
      <c r="N101" s="46">
        <f t="shared" si="134"/>
        <v>0</v>
      </c>
    </row>
    <row r="102" ht="15.75" customHeight="1">
      <c r="A102" s="45" t="s">
        <v>150</v>
      </c>
      <c r="B102" s="46">
        <f t="shared" ref="B102:I102" si="135">+IFERROR(B100/B$83,"nm")</f>
        <v>0.01499836974</v>
      </c>
      <c r="C102" s="46">
        <f t="shared" si="135"/>
        <v>0.01268163804</v>
      </c>
      <c r="D102" s="46">
        <f t="shared" si="135"/>
        <v>0.01274486665</v>
      </c>
      <c r="E102" s="46">
        <f t="shared" si="135"/>
        <v>0.01090767433</v>
      </c>
      <c r="F102" s="46">
        <f t="shared" si="135"/>
        <v>0.008054123711</v>
      </c>
      <c r="G102" s="46">
        <f t="shared" si="135"/>
        <v>0.006587812547</v>
      </c>
      <c r="H102" s="46">
        <f t="shared" si="135"/>
        <v>0.005548854041</v>
      </c>
      <c r="I102" s="46">
        <f t="shared" si="135"/>
        <v>0.005432622234</v>
      </c>
      <c r="J102" s="46">
        <f t="shared" ref="J102:N102" si="136">+IFERROR(J100/J$21,"nm")</f>
        <v>0.002233967199</v>
      </c>
      <c r="K102" s="46">
        <f t="shared" si="136"/>
        <v>0.002233967199</v>
      </c>
      <c r="L102" s="46">
        <f t="shared" si="136"/>
        <v>0.002233967199</v>
      </c>
      <c r="M102" s="46">
        <f t="shared" si="136"/>
        <v>0.002233967199</v>
      </c>
      <c r="N102" s="46">
        <f t="shared" si="136"/>
        <v>0.002233967199</v>
      </c>
    </row>
    <row r="103" ht="15.75" customHeight="1">
      <c r="A103" s="45" t="s">
        <v>157</v>
      </c>
      <c r="B103" s="46">
        <f t="shared" ref="B103:I103" si="137">+IFERROR(B100/B110,"nm")</f>
        <v>0.1811023622</v>
      </c>
      <c r="C103" s="46">
        <f t="shared" si="137"/>
        <v>0.2051282051</v>
      </c>
      <c r="D103" s="46">
        <f t="shared" si="137"/>
        <v>0.24</v>
      </c>
      <c r="E103" s="46">
        <f t="shared" si="137"/>
        <v>0.21875</v>
      </c>
      <c r="F103" s="46">
        <f t="shared" si="137"/>
        <v>0.2109704641</v>
      </c>
      <c r="G103" s="46">
        <f t="shared" si="137"/>
        <v>0.2056074766</v>
      </c>
      <c r="H103" s="46">
        <f t="shared" si="137"/>
        <v>0.1597222222</v>
      </c>
      <c r="I103" s="46">
        <f t="shared" si="137"/>
        <v>0.1353135314</v>
      </c>
      <c r="J103" s="51">
        <f t="shared" ref="J103:N103" si="138">+I103</f>
        <v>0.1353135314</v>
      </c>
      <c r="K103" s="51">
        <f t="shared" si="138"/>
        <v>0.1353135314</v>
      </c>
      <c r="L103" s="51">
        <f t="shared" si="138"/>
        <v>0.1353135314</v>
      </c>
      <c r="M103" s="51">
        <f t="shared" si="138"/>
        <v>0.1353135314</v>
      </c>
      <c r="N103" s="51">
        <f t="shared" si="138"/>
        <v>0.1353135314</v>
      </c>
    </row>
    <row r="104" ht="15.75" customHeight="1">
      <c r="A104" s="12" t="s">
        <v>151</v>
      </c>
      <c r="B104" s="12">
        <f>+Historicals!B139</f>
        <v>993</v>
      </c>
      <c r="C104" s="12">
        <f>+Historicals!C139</f>
        <v>1372</v>
      </c>
      <c r="D104" s="12">
        <f>+Historicals!D139</f>
        <v>1507</v>
      </c>
      <c r="E104" s="12">
        <f>+Historicals!E139</f>
        <v>1807</v>
      </c>
      <c r="F104" s="12">
        <f>+Historicals!F139</f>
        <v>2376</v>
      </c>
      <c r="G104" s="12">
        <f>+Historicals!G139</f>
        <v>2490</v>
      </c>
      <c r="H104" s="12">
        <f>+Historicals!H139</f>
        <v>3243</v>
      </c>
      <c r="I104" s="12">
        <f>+Historicals!I139</f>
        <v>2365</v>
      </c>
      <c r="J104" s="12">
        <f t="shared" ref="J104:N104" si="139">+J97-J100</f>
        <v>2365</v>
      </c>
      <c r="K104" s="12">
        <f t="shared" si="139"/>
        <v>2365</v>
      </c>
      <c r="L104" s="12">
        <f t="shared" si="139"/>
        <v>2365</v>
      </c>
      <c r="M104" s="12">
        <f t="shared" si="139"/>
        <v>2365</v>
      </c>
      <c r="N104" s="12">
        <f t="shared" si="139"/>
        <v>2365</v>
      </c>
    </row>
    <row r="105" ht="15.75" customHeight="1">
      <c r="A105" s="45" t="s">
        <v>146</v>
      </c>
      <c r="C105" s="46">
        <f t="shared" ref="C105:N105" si="140">+IFERROR(C104/B104-1,"nm")</f>
        <v>0.3816717019</v>
      </c>
      <c r="D105" s="46">
        <f t="shared" si="140"/>
        <v>0.09839650146</v>
      </c>
      <c r="E105" s="46">
        <f t="shared" si="140"/>
        <v>0.199071002</v>
      </c>
      <c r="F105" s="46">
        <f t="shared" si="140"/>
        <v>0.3148865523</v>
      </c>
      <c r="G105" s="46">
        <f t="shared" si="140"/>
        <v>0.04797979798</v>
      </c>
      <c r="H105" s="46">
        <f t="shared" si="140"/>
        <v>0.3024096386</v>
      </c>
      <c r="I105" s="46">
        <f t="shared" si="140"/>
        <v>-0.2707369719</v>
      </c>
      <c r="J105" s="46">
        <f t="shared" si="140"/>
        <v>0</v>
      </c>
      <c r="K105" s="46">
        <f t="shared" si="140"/>
        <v>0</v>
      </c>
      <c r="L105" s="46">
        <f t="shared" si="140"/>
        <v>0</v>
      </c>
      <c r="M105" s="46">
        <f t="shared" si="140"/>
        <v>0</v>
      </c>
      <c r="N105" s="46">
        <f t="shared" si="140"/>
        <v>0</v>
      </c>
    </row>
    <row r="106" ht="15.75" customHeight="1">
      <c r="A106" s="45" t="s">
        <v>148</v>
      </c>
      <c r="B106" s="46">
        <f t="shared" ref="B106:I106" si="141">+IFERROR(B104/B$83,"nm")</f>
        <v>0.3237691555</v>
      </c>
      <c r="C106" s="46">
        <f t="shared" si="141"/>
        <v>0.3624834875</v>
      </c>
      <c r="D106" s="46">
        <f t="shared" si="141"/>
        <v>0.355676186</v>
      </c>
      <c r="E106" s="46">
        <f t="shared" si="141"/>
        <v>0.351967277</v>
      </c>
      <c r="F106" s="46">
        <f t="shared" si="141"/>
        <v>0.3827319588</v>
      </c>
      <c r="G106" s="46">
        <f t="shared" si="141"/>
        <v>0.3728103009</v>
      </c>
      <c r="H106" s="46">
        <f t="shared" si="141"/>
        <v>0.3911942099</v>
      </c>
      <c r="I106" s="46">
        <f t="shared" si="141"/>
        <v>0.3133695508</v>
      </c>
      <c r="J106" s="52">
        <f t="shared" ref="J106:N106" si="142">+IFERROR(J104/J$21,"nm")</f>
        <v>0.1288617665</v>
      </c>
      <c r="K106" s="52">
        <f t="shared" si="142"/>
        <v>0.1288617665</v>
      </c>
      <c r="L106" s="52">
        <f t="shared" si="142"/>
        <v>0.1288617665</v>
      </c>
      <c r="M106" s="52">
        <f t="shared" si="142"/>
        <v>0.1288617665</v>
      </c>
      <c r="N106" s="52">
        <f t="shared" si="142"/>
        <v>0.1288617665</v>
      </c>
    </row>
    <row r="107" ht="15.75" customHeight="1">
      <c r="A107" s="12" t="s">
        <v>152</v>
      </c>
      <c r="B107" s="12">
        <f>+Historicals!B161</f>
        <v>69</v>
      </c>
      <c r="C107" s="12">
        <f>+Historicals!C161</f>
        <v>44</v>
      </c>
      <c r="D107" s="12">
        <f>+Historicals!D161</f>
        <v>51</v>
      </c>
      <c r="E107" s="12">
        <f>+Historicals!E161</f>
        <v>76</v>
      </c>
      <c r="F107" s="12">
        <f>+Historicals!F161</f>
        <v>49</v>
      </c>
      <c r="G107" s="12">
        <f>+Historicals!G161</f>
        <v>28</v>
      </c>
      <c r="H107" s="12">
        <f>+Historicals!H161</f>
        <v>94</v>
      </c>
      <c r="I107" s="12">
        <f>+Historicals!I161</f>
        <v>78</v>
      </c>
      <c r="J107" s="12">
        <f t="shared" ref="J107:N107" si="143">+J83*J109</f>
        <v>78</v>
      </c>
      <c r="K107" s="12">
        <f t="shared" si="143"/>
        <v>78</v>
      </c>
      <c r="L107" s="12">
        <f t="shared" si="143"/>
        <v>78</v>
      </c>
      <c r="M107" s="12">
        <f t="shared" si="143"/>
        <v>78</v>
      </c>
      <c r="N107" s="12">
        <f t="shared" si="143"/>
        <v>78</v>
      </c>
    </row>
    <row r="108" ht="15.75" customHeight="1">
      <c r="A108" s="45" t="s">
        <v>146</v>
      </c>
      <c r="C108" s="46">
        <f t="shared" ref="C108:N108" si="144">+IFERROR(C107/B107-1,"nm")</f>
        <v>-0.3623188406</v>
      </c>
      <c r="D108" s="46">
        <f t="shared" si="144"/>
        <v>0.1590909091</v>
      </c>
      <c r="E108" s="46">
        <f t="shared" si="144"/>
        <v>0.4901960784</v>
      </c>
      <c r="F108" s="46">
        <f t="shared" si="144"/>
        <v>-0.3552631579</v>
      </c>
      <c r="G108" s="46">
        <f t="shared" si="144"/>
        <v>-0.4285714286</v>
      </c>
      <c r="H108" s="46">
        <f t="shared" si="144"/>
        <v>2.357142857</v>
      </c>
      <c r="I108" s="46">
        <f t="shared" si="144"/>
        <v>-0.170212766</v>
      </c>
      <c r="J108" s="46">
        <f t="shared" si="144"/>
        <v>0</v>
      </c>
      <c r="K108" s="46">
        <f t="shared" si="144"/>
        <v>0</v>
      </c>
      <c r="L108" s="46">
        <f t="shared" si="144"/>
        <v>0</v>
      </c>
      <c r="M108" s="46">
        <f t="shared" si="144"/>
        <v>0</v>
      </c>
      <c r="N108" s="46">
        <f t="shared" si="144"/>
        <v>0</v>
      </c>
    </row>
    <row r="109" ht="15.75" customHeight="1">
      <c r="A109" s="45" t="s">
        <v>150</v>
      </c>
      <c r="B109" s="46">
        <f t="shared" ref="B109:I109" si="145">+IFERROR(B107/B$83,"nm")</f>
        <v>0.02249755461</v>
      </c>
      <c r="C109" s="46">
        <f t="shared" si="145"/>
        <v>0.01162483487</v>
      </c>
      <c r="D109" s="46">
        <f t="shared" si="145"/>
        <v>0.0120368185</v>
      </c>
      <c r="E109" s="46">
        <f t="shared" si="145"/>
        <v>0.0148032723</v>
      </c>
      <c r="F109" s="46">
        <f t="shared" si="145"/>
        <v>0.007893041237</v>
      </c>
      <c r="G109" s="46">
        <f t="shared" si="145"/>
        <v>0.004192244348</v>
      </c>
      <c r="H109" s="46">
        <f t="shared" si="145"/>
        <v>0.01133896261</v>
      </c>
      <c r="I109" s="46">
        <f t="shared" si="145"/>
        <v>0.01033523254</v>
      </c>
      <c r="J109" s="51">
        <f t="shared" ref="J109:N109" si="146">+I109</f>
        <v>0.01033523254</v>
      </c>
      <c r="K109" s="51">
        <f t="shared" si="146"/>
        <v>0.01033523254</v>
      </c>
      <c r="L109" s="51">
        <f t="shared" si="146"/>
        <v>0.01033523254</v>
      </c>
      <c r="M109" s="51">
        <f t="shared" si="146"/>
        <v>0.01033523254</v>
      </c>
      <c r="N109" s="51">
        <f t="shared" si="146"/>
        <v>0.01033523254</v>
      </c>
    </row>
    <row r="110" ht="15.75" customHeight="1">
      <c r="A110" s="12" t="s">
        <v>153</v>
      </c>
      <c r="B110" s="12">
        <f>+Historicals!B150</f>
        <v>254</v>
      </c>
      <c r="C110" s="12">
        <f>+Historicals!C150</f>
        <v>234</v>
      </c>
      <c r="D110" s="12">
        <f>+Historicals!D150</f>
        <v>225</v>
      </c>
      <c r="E110" s="12">
        <f>+Historicals!E150</f>
        <v>256</v>
      </c>
      <c r="F110" s="12">
        <f>+Historicals!F150</f>
        <v>237</v>
      </c>
      <c r="G110" s="12">
        <f>+Historicals!G150</f>
        <v>214</v>
      </c>
      <c r="H110" s="12">
        <f>+Historicals!H150</f>
        <v>288</v>
      </c>
      <c r="I110" s="12">
        <f>+Historicals!I150</f>
        <v>303</v>
      </c>
      <c r="J110" s="12">
        <f t="shared" ref="J110:N110" si="147">+J83*J112</f>
        <v>303</v>
      </c>
      <c r="K110" s="12">
        <f t="shared" si="147"/>
        <v>303</v>
      </c>
      <c r="L110" s="12">
        <f t="shared" si="147"/>
        <v>303</v>
      </c>
      <c r="M110" s="12">
        <f t="shared" si="147"/>
        <v>303</v>
      </c>
      <c r="N110" s="12">
        <f t="shared" si="147"/>
        <v>303</v>
      </c>
    </row>
    <row r="111" ht="15.75" customHeight="1">
      <c r="A111" s="45" t="s">
        <v>146</v>
      </c>
      <c r="C111" s="46">
        <f t="shared" ref="C111:I111" si="148">+IFERROR(C110/B110-1,"nm")</f>
        <v>-0.07874015748</v>
      </c>
      <c r="D111" s="46">
        <f t="shared" si="148"/>
        <v>-0.03846153846</v>
      </c>
      <c r="E111" s="46">
        <f t="shared" si="148"/>
        <v>0.1377777778</v>
      </c>
      <c r="F111" s="46">
        <f t="shared" si="148"/>
        <v>-0.07421875</v>
      </c>
      <c r="G111" s="46">
        <f t="shared" si="148"/>
        <v>-0.0970464135</v>
      </c>
      <c r="H111" s="46">
        <f t="shared" si="148"/>
        <v>0.3457943925</v>
      </c>
      <c r="I111" s="46">
        <f t="shared" si="148"/>
        <v>0.05208333333</v>
      </c>
      <c r="J111" s="46">
        <f t="shared" ref="J111:N111" si="149">+J112+J113</f>
        <v>0.04014840334</v>
      </c>
      <c r="K111" s="46">
        <f t="shared" si="149"/>
        <v>0.04014840334</v>
      </c>
      <c r="L111" s="46">
        <f t="shared" si="149"/>
        <v>0.04014840334</v>
      </c>
      <c r="M111" s="46">
        <f t="shared" si="149"/>
        <v>0.04014840334</v>
      </c>
      <c r="N111" s="46">
        <f t="shared" si="149"/>
        <v>0.04014840334</v>
      </c>
    </row>
    <row r="112" ht="15.75" customHeight="1">
      <c r="A112" s="45" t="s">
        <v>150</v>
      </c>
      <c r="B112" s="46">
        <f t="shared" ref="B112:I112" si="150">+IFERROR(B110/B$83,"nm")</f>
        <v>0.0828170851</v>
      </c>
      <c r="C112" s="46">
        <f t="shared" si="150"/>
        <v>0.06182298547</v>
      </c>
      <c r="D112" s="46">
        <f t="shared" si="150"/>
        <v>0.05310361105</v>
      </c>
      <c r="E112" s="46">
        <f t="shared" si="150"/>
        <v>0.04986365407</v>
      </c>
      <c r="F112" s="46">
        <f t="shared" si="150"/>
        <v>0.03817654639</v>
      </c>
      <c r="G112" s="46">
        <f t="shared" si="150"/>
        <v>0.03204072466</v>
      </c>
      <c r="H112" s="46">
        <f t="shared" si="150"/>
        <v>0.03474065139</v>
      </c>
      <c r="I112" s="46">
        <f t="shared" si="150"/>
        <v>0.04014840334</v>
      </c>
      <c r="J112" s="51">
        <f t="shared" ref="J112:N112" si="151">+I112</f>
        <v>0.04014840334</v>
      </c>
      <c r="K112" s="51">
        <f t="shared" si="151"/>
        <v>0.04014840334</v>
      </c>
      <c r="L112" s="51">
        <f t="shared" si="151"/>
        <v>0.04014840334</v>
      </c>
      <c r="M112" s="51">
        <f t="shared" si="151"/>
        <v>0.04014840334</v>
      </c>
      <c r="N112" s="51">
        <f t="shared" si="151"/>
        <v>0.04014840334</v>
      </c>
    </row>
    <row r="113" ht="15.75" customHeight="1">
      <c r="A113" s="48" t="str">
        <f>+Historicals!A195</f>
        <v>Asia Pacific &amp; Latin America</v>
      </c>
      <c r="B113" s="49"/>
      <c r="C113" s="49"/>
      <c r="D113" s="49"/>
      <c r="E113" s="49"/>
      <c r="F113" s="49"/>
      <c r="G113" s="49"/>
      <c r="H113" s="49"/>
      <c r="I113" s="49"/>
      <c r="J113" s="43"/>
      <c r="K113" s="43"/>
      <c r="L113" s="43"/>
      <c r="M113" s="43"/>
      <c r="N113" s="43"/>
    </row>
    <row r="114" ht="15.75" customHeight="1">
      <c r="A114" s="12" t="s">
        <v>154</v>
      </c>
      <c r="B114" s="12">
        <f t="shared" ref="B114:I114" si="152">B116+B120+B124</f>
        <v>4653</v>
      </c>
      <c r="C114" s="12">
        <f t="shared" si="152"/>
        <v>4317</v>
      </c>
      <c r="D114" s="12">
        <f t="shared" si="152"/>
        <v>4737</v>
      </c>
      <c r="E114" s="12">
        <f t="shared" si="152"/>
        <v>5166</v>
      </c>
      <c r="F114" s="12">
        <f t="shared" si="152"/>
        <v>5254</v>
      </c>
      <c r="G114" s="12">
        <f t="shared" si="152"/>
        <v>5028</v>
      </c>
      <c r="H114" s="12">
        <f t="shared" si="152"/>
        <v>5343</v>
      </c>
      <c r="I114" s="12">
        <f t="shared" si="152"/>
        <v>5955</v>
      </c>
      <c r="J114" s="12">
        <f t="shared" ref="J114:N114" si="153">+SUM(J116+J120+J124)</f>
        <v>5955</v>
      </c>
      <c r="K114" s="12">
        <f t="shared" si="153"/>
        <v>5955</v>
      </c>
      <c r="L114" s="12">
        <f t="shared" si="153"/>
        <v>5955</v>
      </c>
      <c r="M114" s="12">
        <f t="shared" si="153"/>
        <v>5955</v>
      </c>
      <c r="N114" s="12">
        <f t="shared" si="153"/>
        <v>5955</v>
      </c>
    </row>
    <row r="115" ht="15.75" customHeight="1">
      <c r="A115" s="45" t="s">
        <v>146</v>
      </c>
      <c r="C115" s="46">
        <f t="shared" ref="C115:N115" si="154">+IFERROR(C114/B114-1,"nm")</f>
        <v>-0.07221147647</v>
      </c>
      <c r="D115" s="46">
        <f t="shared" si="154"/>
        <v>0.09728978457</v>
      </c>
      <c r="E115" s="46">
        <f t="shared" si="154"/>
        <v>0.09056364788</v>
      </c>
      <c r="F115" s="46">
        <f t="shared" si="154"/>
        <v>0.01703445606</v>
      </c>
      <c r="G115" s="46">
        <f t="shared" si="154"/>
        <v>-0.04301484583</v>
      </c>
      <c r="H115" s="46">
        <f t="shared" si="154"/>
        <v>0.06264916468</v>
      </c>
      <c r="I115" s="46">
        <f t="shared" si="154"/>
        <v>0.1145423919</v>
      </c>
      <c r="J115" s="46">
        <f t="shared" si="154"/>
        <v>0</v>
      </c>
      <c r="K115" s="46">
        <f t="shared" si="154"/>
        <v>0</v>
      </c>
      <c r="L115" s="46">
        <f t="shared" si="154"/>
        <v>0</v>
      </c>
      <c r="M115" s="46">
        <f t="shared" si="154"/>
        <v>0</v>
      </c>
      <c r="N115" s="46">
        <f t="shared" si="154"/>
        <v>0</v>
      </c>
    </row>
    <row r="116" ht="15.75" customHeight="1">
      <c r="A116" s="50" t="s">
        <v>117</v>
      </c>
      <c r="B116" s="12">
        <f>+Historicals!B123</f>
        <v>3093</v>
      </c>
      <c r="C116" s="12">
        <f>+Historicals!C123</f>
        <v>2930</v>
      </c>
      <c r="D116" s="12">
        <f>+Historicals!D123</f>
        <v>3285</v>
      </c>
      <c r="E116" s="12">
        <f>+Historicals!E123</f>
        <v>3575</v>
      </c>
      <c r="F116" s="12">
        <f>+Historicals!F123</f>
        <v>3622</v>
      </c>
      <c r="G116" s="12">
        <f>+Historicals!G123</f>
        <v>3449</v>
      </c>
      <c r="H116" s="12">
        <f>+Historicals!H123</f>
        <v>3659</v>
      </c>
      <c r="I116" s="12">
        <f>+Historicals!I123</f>
        <v>4111</v>
      </c>
      <c r="J116" s="12">
        <f t="shared" ref="J116:N116" si="155">+I116*(1+J117)</f>
        <v>4111</v>
      </c>
      <c r="K116" s="12">
        <f t="shared" si="155"/>
        <v>4111</v>
      </c>
      <c r="L116" s="12">
        <f t="shared" si="155"/>
        <v>4111</v>
      </c>
      <c r="M116" s="12">
        <f t="shared" si="155"/>
        <v>4111</v>
      </c>
      <c r="N116" s="12">
        <f t="shared" si="155"/>
        <v>4111</v>
      </c>
    </row>
    <row r="117" ht="15.75" customHeight="1">
      <c r="A117" s="45" t="s">
        <v>146</v>
      </c>
      <c r="C117" s="46">
        <f t="shared" ref="C117:I117" si="156">+IFERROR(C116/B116-1,"nm")</f>
        <v>-0.05269964436</v>
      </c>
      <c r="D117" s="46">
        <f t="shared" si="156"/>
        <v>0.1211604096</v>
      </c>
      <c r="E117" s="46">
        <f t="shared" si="156"/>
        <v>0.08828006088</v>
      </c>
      <c r="F117" s="46">
        <f t="shared" si="156"/>
        <v>0.01314685315</v>
      </c>
      <c r="G117" s="46">
        <f t="shared" si="156"/>
        <v>-0.04776366648</v>
      </c>
      <c r="H117" s="46">
        <f t="shared" si="156"/>
        <v>0.06088721369</v>
      </c>
      <c r="I117" s="46">
        <f t="shared" si="156"/>
        <v>0.1235310194</v>
      </c>
      <c r="J117" s="46">
        <f t="shared" ref="J117:N117" si="157">+J118+J119</f>
        <v>0</v>
      </c>
      <c r="K117" s="46">
        <f t="shared" si="157"/>
        <v>0</v>
      </c>
      <c r="L117" s="46">
        <f t="shared" si="157"/>
        <v>0</v>
      </c>
      <c r="M117" s="46">
        <f t="shared" si="157"/>
        <v>0</v>
      </c>
      <c r="N117" s="46">
        <f t="shared" si="157"/>
        <v>0</v>
      </c>
    </row>
    <row r="118" ht="15.75" customHeight="1">
      <c r="A118" s="45" t="s">
        <v>155</v>
      </c>
      <c r="B118" s="46">
        <f>+Historicals!B196</f>
        <v>0.12</v>
      </c>
      <c r="C118" s="46">
        <f>+Historicals!C196</f>
        <v>0.19</v>
      </c>
      <c r="D118" s="46">
        <f>+Historicals!D196</f>
        <v>0.16</v>
      </c>
      <c r="E118" s="46">
        <f>+Historicals!E196</f>
        <v>0.09</v>
      </c>
      <c r="F118" s="46">
        <f>+Historicals!F196</f>
        <v>0.12</v>
      </c>
      <c r="G118" s="46">
        <f>+Historicals!G196</f>
        <v>0</v>
      </c>
      <c r="H118" s="46">
        <f>+Historicals!H196</f>
        <v>0.08</v>
      </c>
      <c r="I118" s="46">
        <f>+Historicals!I196</f>
        <v>0.17</v>
      </c>
      <c r="J118" s="51">
        <v>0.0</v>
      </c>
      <c r="K118" s="51">
        <f t="shared" ref="K118:N118" si="158">+J118</f>
        <v>0</v>
      </c>
      <c r="L118" s="51">
        <f t="shared" si="158"/>
        <v>0</v>
      </c>
      <c r="M118" s="51">
        <f t="shared" si="158"/>
        <v>0</v>
      </c>
      <c r="N118" s="51">
        <f t="shared" si="158"/>
        <v>0</v>
      </c>
    </row>
    <row r="119" ht="15.75" customHeight="1">
      <c r="A119" s="45" t="s">
        <v>156</v>
      </c>
      <c r="C119" s="46">
        <f t="shared" ref="C119:I119" si="159">+IFERROR(C117-C118,"nm")</f>
        <v>-0.2426996444</v>
      </c>
      <c r="D119" s="46">
        <f t="shared" si="159"/>
        <v>-0.03883959044</v>
      </c>
      <c r="E119" s="46">
        <f t="shared" si="159"/>
        <v>-0.001719939117</v>
      </c>
      <c r="F119" s="46">
        <f t="shared" si="159"/>
        <v>-0.1068531469</v>
      </c>
      <c r="G119" s="46">
        <f t="shared" si="159"/>
        <v>-0.04776366648</v>
      </c>
      <c r="H119" s="46">
        <f t="shared" si="159"/>
        <v>-0.01911278631</v>
      </c>
      <c r="I119" s="46">
        <f t="shared" si="159"/>
        <v>-0.0464689806</v>
      </c>
      <c r="J119" s="51">
        <v>0.0</v>
      </c>
      <c r="K119" s="51">
        <f t="shared" ref="K119:N119" si="160">+J119</f>
        <v>0</v>
      </c>
      <c r="L119" s="51">
        <f t="shared" si="160"/>
        <v>0</v>
      </c>
      <c r="M119" s="51">
        <f t="shared" si="160"/>
        <v>0</v>
      </c>
      <c r="N119" s="51">
        <f t="shared" si="160"/>
        <v>0</v>
      </c>
    </row>
    <row r="120" ht="15.75" customHeight="1">
      <c r="A120" s="50" t="s">
        <v>118</v>
      </c>
      <c r="B120" s="12">
        <f>+Historicals!B124</f>
        <v>1251</v>
      </c>
      <c r="C120" s="12">
        <f>+Historicals!C124</f>
        <v>1117</v>
      </c>
      <c r="D120" s="12">
        <f>+Historicals!D124</f>
        <v>1185</v>
      </c>
      <c r="E120" s="12">
        <f>+Historicals!E124</f>
        <v>1347</v>
      </c>
      <c r="F120" s="12">
        <f>+Historicals!F124</f>
        <v>1395</v>
      </c>
      <c r="G120" s="12">
        <f>+Historicals!G124</f>
        <v>1365</v>
      </c>
      <c r="H120" s="12">
        <f>+Historicals!H124</f>
        <v>1494</v>
      </c>
      <c r="I120" s="12">
        <f>+Historicals!I124</f>
        <v>1610</v>
      </c>
      <c r="J120" s="12">
        <f t="shared" ref="J120:N120" si="161">+I120*(1+J121)</f>
        <v>1610</v>
      </c>
      <c r="K120" s="12">
        <f t="shared" si="161"/>
        <v>1610</v>
      </c>
      <c r="L120" s="12">
        <f t="shared" si="161"/>
        <v>1610</v>
      </c>
      <c r="M120" s="12">
        <f t="shared" si="161"/>
        <v>1610</v>
      </c>
      <c r="N120" s="12">
        <f t="shared" si="161"/>
        <v>1610</v>
      </c>
    </row>
    <row r="121" ht="15.75" customHeight="1">
      <c r="A121" s="45" t="s">
        <v>146</v>
      </c>
      <c r="C121" s="46">
        <f t="shared" ref="C121:I121" si="162">+IFERROR(C120/B120-1,"nm")</f>
        <v>-0.1071143086</v>
      </c>
      <c r="D121" s="46">
        <f t="shared" si="162"/>
        <v>0.06087735004</v>
      </c>
      <c r="E121" s="46">
        <f t="shared" si="162"/>
        <v>0.1367088608</v>
      </c>
      <c r="F121" s="46">
        <f t="shared" si="162"/>
        <v>0.03563474388</v>
      </c>
      <c r="G121" s="46">
        <f t="shared" si="162"/>
        <v>-0.02150537634</v>
      </c>
      <c r="H121" s="46">
        <f t="shared" si="162"/>
        <v>0.09450549451</v>
      </c>
      <c r="I121" s="46">
        <f t="shared" si="162"/>
        <v>0.07764390897</v>
      </c>
      <c r="J121" s="46">
        <f t="shared" ref="J121:N121" si="163">+J122+J123</f>
        <v>0</v>
      </c>
      <c r="K121" s="46">
        <f t="shared" si="163"/>
        <v>0</v>
      </c>
      <c r="L121" s="46">
        <f t="shared" si="163"/>
        <v>0</v>
      </c>
      <c r="M121" s="46">
        <f t="shared" si="163"/>
        <v>0</v>
      </c>
      <c r="N121" s="46">
        <f t="shared" si="163"/>
        <v>0</v>
      </c>
    </row>
    <row r="122" ht="15.75" customHeight="1">
      <c r="A122" s="45" t="s">
        <v>155</v>
      </c>
      <c r="B122" s="46">
        <f>+Historicals!B197</f>
        <v>0.08</v>
      </c>
      <c r="C122" s="46">
        <f>+Historicals!C197</f>
        <v>0.1</v>
      </c>
      <c r="D122" s="46">
        <f>+Historicals!D197</f>
        <v>0.09</v>
      </c>
      <c r="E122" s="46">
        <f>+Historicals!E197</f>
        <v>0.15</v>
      </c>
      <c r="F122" s="46">
        <f>+Historicals!F197</f>
        <v>0.15</v>
      </c>
      <c r="G122" s="46">
        <f>+Historicals!G197</f>
        <v>0.03</v>
      </c>
      <c r="H122" s="46">
        <f>+Historicals!H197</f>
        <v>0.1</v>
      </c>
      <c r="I122" s="46">
        <f>+Historicals!I197</f>
        <v>0.12</v>
      </c>
      <c r="J122" s="51">
        <v>0.0</v>
      </c>
      <c r="K122" s="51">
        <f t="shared" ref="K122:N122" si="164">+J122</f>
        <v>0</v>
      </c>
      <c r="L122" s="51">
        <f t="shared" si="164"/>
        <v>0</v>
      </c>
      <c r="M122" s="51">
        <f t="shared" si="164"/>
        <v>0</v>
      </c>
      <c r="N122" s="51">
        <f t="shared" si="164"/>
        <v>0</v>
      </c>
    </row>
    <row r="123" ht="15.75" customHeight="1">
      <c r="A123" s="45" t="s">
        <v>156</v>
      </c>
      <c r="C123" s="46">
        <f t="shared" ref="C123:I123" si="165">+IFERROR(C121-C122,"nm")</f>
        <v>-0.2071143086</v>
      </c>
      <c r="D123" s="46">
        <f t="shared" si="165"/>
        <v>-0.02912264996</v>
      </c>
      <c r="E123" s="46">
        <f t="shared" si="165"/>
        <v>-0.01329113924</v>
      </c>
      <c r="F123" s="46">
        <f t="shared" si="165"/>
        <v>-0.1143652561</v>
      </c>
      <c r="G123" s="46">
        <f t="shared" si="165"/>
        <v>-0.05150537634</v>
      </c>
      <c r="H123" s="46">
        <f t="shared" si="165"/>
        <v>-0.005494505495</v>
      </c>
      <c r="I123" s="46">
        <f t="shared" si="165"/>
        <v>-0.04235609103</v>
      </c>
      <c r="J123" s="51">
        <v>0.0</v>
      </c>
      <c r="K123" s="51">
        <f t="shared" ref="K123:N123" si="166">+J123</f>
        <v>0</v>
      </c>
      <c r="L123" s="51">
        <f t="shared" si="166"/>
        <v>0</v>
      </c>
      <c r="M123" s="51">
        <f t="shared" si="166"/>
        <v>0</v>
      </c>
      <c r="N123" s="51">
        <f t="shared" si="166"/>
        <v>0</v>
      </c>
    </row>
    <row r="124" ht="15.75" customHeight="1">
      <c r="A124" s="50" t="s">
        <v>119</v>
      </c>
      <c r="B124" s="12">
        <f>+Historicals!B125</f>
        <v>309</v>
      </c>
      <c r="C124" s="12">
        <f>+Historicals!C125</f>
        <v>270</v>
      </c>
      <c r="D124" s="12">
        <f>+Historicals!D125</f>
        <v>267</v>
      </c>
      <c r="E124" s="12">
        <f>+Historicals!E125</f>
        <v>244</v>
      </c>
      <c r="F124" s="12">
        <f>+Historicals!F125</f>
        <v>237</v>
      </c>
      <c r="G124" s="12">
        <f>+Historicals!G125</f>
        <v>214</v>
      </c>
      <c r="H124" s="12">
        <f>+Historicals!H125</f>
        <v>190</v>
      </c>
      <c r="I124" s="12">
        <f>+Historicals!I125</f>
        <v>234</v>
      </c>
      <c r="J124" s="12">
        <f t="shared" ref="J124:N124" si="167">+I124*(1+J125)</f>
        <v>234</v>
      </c>
      <c r="K124" s="12">
        <f t="shared" si="167"/>
        <v>234</v>
      </c>
      <c r="L124" s="12">
        <f t="shared" si="167"/>
        <v>234</v>
      </c>
      <c r="M124" s="12">
        <f t="shared" si="167"/>
        <v>234</v>
      </c>
      <c r="N124" s="12">
        <f t="shared" si="167"/>
        <v>234</v>
      </c>
    </row>
    <row r="125" ht="15.75" customHeight="1">
      <c r="A125" s="45" t="s">
        <v>146</v>
      </c>
      <c r="C125" s="46">
        <f t="shared" ref="C125:I125" si="168">+IFERROR(C124/B124-1,"nm")</f>
        <v>-0.1262135922</v>
      </c>
      <c r="D125" s="46">
        <f t="shared" si="168"/>
        <v>-0.01111111111</v>
      </c>
      <c r="E125" s="46">
        <f t="shared" si="168"/>
        <v>-0.0861423221</v>
      </c>
      <c r="F125" s="46">
        <f t="shared" si="168"/>
        <v>-0.02868852459</v>
      </c>
      <c r="G125" s="46">
        <f t="shared" si="168"/>
        <v>-0.0970464135</v>
      </c>
      <c r="H125" s="46">
        <f t="shared" si="168"/>
        <v>-0.1121495327</v>
      </c>
      <c r="I125" s="46">
        <f t="shared" si="168"/>
        <v>0.2315789474</v>
      </c>
      <c r="J125" s="46">
        <f t="shared" ref="J125:N125" si="169">+J126+J127</f>
        <v>0</v>
      </c>
      <c r="K125" s="46">
        <f t="shared" si="169"/>
        <v>0</v>
      </c>
      <c r="L125" s="46">
        <f t="shared" si="169"/>
        <v>0</v>
      </c>
      <c r="M125" s="46">
        <f t="shared" si="169"/>
        <v>0</v>
      </c>
      <c r="N125" s="46">
        <f t="shared" si="169"/>
        <v>0</v>
      </c>
    </row>
    <row r="126" ht="15.75" customHeight="1">
      <c r="A126" s="45" t="s">
        <v>155</v>
      </c>
      <c r="B126" s="46">
        <f>+Historicals!B198</f>
        <v>0.03</v>
      </c>
      <c r="C126" s="46">
        <f>+Historicals!C198</f>
        <v>0.09</v>
      </c>
      <c r="D126" s="46">
        <f>+Historicals!D198</f>
        <v>-0.01</v>
      </c>
      <c r="E126" s="46">
        <f>+Historicals!E198</f>
        <v>-0.08</v>
      </c>
      <c r="F126" s="46">
        <f>+Historicals!F198</f>
        <v>0.08</v>
      </c>
      <c r="G126" s="46">
        <f>+Historicals!G198</f>
        <v>-0.04</v>
      </c>
      <c r="H126" s="46">
        <f>+Historicals!H198</f>
        <v>-0.09</v>
      </c>
      <c r="I126" s="46">
        <f>+Historicals!I198</f>
        <v>0.28</v>
      </c>
      <c r="J126" s="51">
        <v>0.0</v>
      </c>
      <c r="K126" s="51">
        <f t="shared" ref="K126:N126" si="170">+J126</f>
        <v>0</v>
      </c>
      <c r="L126" s="51">
        <f t="shared" si="170"/>
        <v>0</v>
      </c>
      <c r="M126" s="51">
        <f t="shared" si="170"/>
        <v>0</v>
      </c>
      <c r="N126" s="51">
        <f t="shared" si="170"/>
        <v>0</v>
      </c>
    </row>
    <row r="127" ht="15.75" customHeight="1">
      <c r="A127" s="45" t="s">
        <v>156</v>
      </c>
      <c r="C127" s="46">
        <f t="shared" ref="C127:I127" si="171">+IFERROR(C125-C126,"nm")</f>
        <v>-0.2162135922</v>
      </c>
      <c r="D127" s="46">
        <f t="shared" si="171"/>
        <v>-0.001111111111</v>
      </c>
      <c r="E127" s="46">
        <f t="shared" si="171"/>
        <v>-0.006142322097</v>
      </c>
      <c r="F127" s="46">
        <f t="shared" si="171"/>
        <v>-0.1086885246</v>
      </c>
      <c r="G127" s="46">
        <f t="shared" si="171"/>
        <v>-0.0570464135</v>
      </c>
      <c r="H127" s="46">
        <f t="shared" si="171"/>
        <v>-0.02214953271</v>
      </c>
      <c r="I127" s="46">
        <f t="shared" si="171"/>
        <v>-0.04842105263</v>
      </c>
      <c r="J127" s="51">
        <v>0.0</v>
      </c>
      <c r="K127" s="51">
        <f t="shared" ref="K127:N127" si="172">+J127</f>
        <v>0</v>
      </c>
      <c r="L127" s="51">
        <f t="shared" si="172"/>
        <v>0</v>
      </c>
      <c r="M127" s="51">
        <f t="shared" si="172"/>
        <v>0</v>
      </c>
      <c r="N127" s="51">
        <f t="shared" si="172"/>
        <v>0</v>
      </c>
    </row>
    <row r="128" ht="15.75" customHeight="1">
      <c r="A128" s="12" t="s">
        <v>147</v>
      </c>
      <c r="B128" s="12">
        <f t="shared" ref="B128:I128" si="173">+B135+B131</f>
        <v>967</v>
      </c>
      <c r="C128" s="12">
        <f t="shared" si="173"/>
        <v>1045</v>
      </c>
      <c r="D128" s="12">
        <f t="shared" si="173"/>
        <v>1036</v>
      </c>
      <c r="E128" s="12">
        <f t="shared" si="173"/>
        <v>1244</v>
      </c>
      <c r="F128" s="12">
        <f t="shared" si="173"/>
        <v>1376</v>
      </c>
      <c r="G128" s="12">
        <f t="shared" si="173"/>
        <v>1230</v>
      </c>
      <c r="H128" s="12">
        <f t="shared" si="173"/>
        <v>1573</v>
      </c>
      <c r="I128" s="12">
        <f t="shared" si="173"/>
        <v>1938</v>
      </c>
      <c r="J128" s="12">
        <f t="shared" ref="J128:N128" si="174">+J114*J130</f>
        <v>1938</v>
      </c>
      <c r="K128" s="12">
        <f t="shared" si="174"/>
        <v>1938</v>
      </c>
      <c r="L128" s="12">
        <f t="shared" si="174"/>
        <v>1938</v>
      </c>
      <c r="M128" s="12">
        <f t="shared" si="174"/>
        <v>1938</v>
      </c>
      <c r="N128" s="12">
        <f t="shared" si="174"/>
        <v>1938</v>
      </c>
    </row>
    <row r="129" ht="15.75" customHeight="1">
      <c r="A129" s="45" t="s">
        <v>146</v>
      </c>
      <c r="C129" s="46">
        <f t="shared" ref="C129:N129" si="175">+IFERROR(C128/B128-1,"nm")</f>
        <v>0.08066184074</v>
      </c>
      <c r="D129" s="46">
        <f t="shared" si="175"/>
        <v>-0.008612440191</v>
      </c>
      <c r="E129" s="46">
        <f t="shared" si="175"/>
        <v>0.2007722008</v>
      </c>
      <c r="F129" s="46">
        <f t="shared" si="175"/>
        <v>0.1061093248</v>
      </c>
      <c r="G129" s="46">
        <f t="shared" si="175"/>
        <v>-0.1061046512</v>
      </c>
      <c r="H129" s="46">
        <f t="shared" si="175"/>
        <v>0.2788617886</v>
      </c>
      <c r="I129" s="46">
        <f t="shared" si="175"/>
        <v>0.2320406866</v>
      </c>
      <c r="J129" s="46">
        <f t="shared" si="175"/>
        <v>0</v>
      </c>
      <c r="K129" s="46">
        <f t="shared" si="175"/>
        <v>0</v>
      </c>
      <c r="L129" s="46">
        <f t="shared" si="175"/>
        <v>0</v>
      </c>
      <c r="M129" s="46">
        <f t="shared" si="175"/>
        <v>0</v>
      </c>
      <c r="N129" s="46">
        <f t="shared" si="175"/>
        <v>0</v>
      </c>
    </row>
    <row r="130" ht="15.75" customHeight="1">
      <c r="A130" s="45" t="s">
        <v>148</v>
      </c>
      <c r="B130" s="46">
        <f t="shared" ref="B130:I130" si="176">+IFERROR(B128/B$114,"nm")</f>
        <v>0.20782291</v>
      </c>
      <c r="C130" s="46">
        <f t="shared" si="176"/>
        <v>0.2420662497</v>
      </c>
      <c r="D130" s="46">
        <f t="shared" si="176"/>
        <v>0.218703821</v>
      </c>
      <c r="E130" s="46">
        <f t="shared" si="176"/>
        <v>0.2408052652</v>
      </c>
      <c r="F130" s="46">
        <f t="shared" si="176"/>
        <v>0.2618956985</v>
      </c>
      <c r="G130" s="46">
        <f t="shared" si="176"/>
        <v>0.2446300716</v>
      </c>
      <c r="H130" s="46">
        <f t="shared" si="176"/>
        <v>0.2944038929</v>
      </c>
      <c r="I130" s="46">
        <f t="shared" si="176"/>
        <v>0.325440806</v>
      </c>
      <c r="J130" s="51">
        <f t="shared" ref="J130:N130" si="177">+I130</f>
        <v>0.325440806</v>
      </c>
      <c r="K130" s="51">
        <f t="shared" si="177"/>
        <v>0.325440806</v>
      </c>
      <c r="L130" s="51">
        <f t="shared" si="177"/>
        <v>0.325440806</v>
      </c>
      <c r="M130" s="51">
        <f t="shared" si="177"/>
        <v>0.325440806</v>
      </c>
      <c r="N130" s="51">
        <f t="shared" si="177"/>
        <v>0.325440806</v>
      </c>
    </row>
    <row r="131" ht="15.75" customHeight="1">
      <c r="A131" s="12" t="s">
        <v>149</v>
      </c>
      <c r="B131" s="12">
        <f>+Historicals!B174</f>
        <v>49</v>
      </c>
      <c r="C131" s="12">
        <f>+Historicals!C174</f>
        <v>43</v>
      </c>
      <c r="D131" s="12">
        <f>+Historicals!D174</f>
        <v>56</v>
      </c>
      <c r="E131" s="12">
        <f>+Historicals!E174</f>
        <v>55</v>
      </c>
      <c r="F131" s="12">
        <f>+Historicals!F174</f>
        <v>53</v>
      </c>
      <c r="G131" s="12">
        <f>+Historicals!G174</f>
        <v>46</v>
      </c>
      <c r="H131" s="12">
        <f>+Historicals!H174</f>
        <v>43</v>
      </c>
      <c r="I131" s="12">
        <f>+Historicals!I174</f>
        <v>42</v>
      </c>
      <c r="J131" s="12">
        <f t="shared" ref="J131:N131" si="178">+J134*J141</f>
        <v>42</v>
      </c>
      <c r="K131" s="12">
        <f t="shared" si="178"/>
        <v>42</v>
      </c>
      <c r="L131" s="12">
        <f t="shared" si="178"/>
        <v>42</v>
      </c>
      <c r="M131" s="12">
        <f t="shared" si="178"/>
        <v>42</v>
      </c>
      <c r="N131" s="12">
        <f t="shared" si="178"/>
        <v>42</v>
      </c>
    </row>
    <row r="132" ht="15.75" customHeight="1">
      <c r="A132" s="45" t="s">
        <v>146</v>
      </c>
      <c r="C132" s="46">
        <f t="shared" ref="C132:N132" si="179">+IFERROR(C131/B131-1,"nm")</f>
        <v>-0.1224489796</v>
      </c>
      <c r="D132" s="46">
        <f t="shared" si="179"/>
        <v>0.3023255814</v>
      </c>
      <c r="E132" s="46">
        <f t="shared" si="179"/>
        <v>-0.01785714286</v>
      </c>
      <c r="F132" s="46">
        <f t="shared" si="179"/>
        <v>-0.03636363636</v>
      </c>
      <c r="G132" s="46">
        <f t="shared" si="179"/>
        <v>-0.1320754717</v>
      </c>
      <c r="H132" s="46">
        <f t="shared" si="179"/>
        <v>-0.0652173913</v>
      </c>
      <c r="I132" s="46">
        <f t="shared" si="179"/>
        <v>-0.02325581395</v>
      </c>
      <c r="J132" s="46">
        <f t="shared" si="179"/>
        <v>0</v>
      </c>
      <c r="K132" s="46">
        <f t="shared" si="179"/>
        <v>0</v>
      </c>
      <c r="L132" s="46">
        <f t="shared" si="179"/>
        <v>0</v>
      </c>
      <c r="M132" s="46">
        <f t="shared" si="179"/>
        <v>0</v>
      </c>
      <c r="N132" s="46">
        <f t="shared" si="179"/>
        <v>0</v>
      </c>
    </row>
    <row r="133" ht="15.75" customHeight="1">
      <c r="A133" s="45" t="s">
        <v>150</v>
      </c>
      <c r="B133" s="46">
        <f t="shared" ref="B133:I133" si="180">+IFERROR(B131/B$114,"nm")</f>
        <v>0.01053084032</v>
      </c>
      <c r="C133" s="46">
        <f t="shared" si="180"/>
        <v>0.009960620801</v>
      </c>
      <c r="D133" s="46">
        <f t="shared" si="180"/>
        <v>0.01182182816</v>
      </c>
      <c r="E133" s="46">
        <f t="shared" si="180"/>
        <v>0.01064653504</v>
      </c>
      <c r="F133" s="46">
        <f t="shared" si="180"/>
        <v>0.01008755234</v>
      </c>
      <c r="G133" s="46">
        <f t="shared" si="180"/>
        <v>0.009148766905</v>
      </c>
      <c r="H133" s="46">
        <f t="shared" si="180"/>
        <v>0.008047913157</v>
      </c>
      <c r="I133" s="46">
        <f t="shared" si="180"/>
        <v>0.007052896725</v>
      </c>
      <c r="J133" s="46">
        <f t="shared" ref="J133:N133" si="181">+IFERROR(J131/J$21,"nm")</f>
        <v>0.002288454204</v>
      </c>
      <c r="K133" s="46">
        <f t="shared" si="181"/>
        <v>0.002288454204</v>
      </c>
      <c r="L133" s="46">
        <f t="shared" si="181"/>
        <v>0.002288454204</v>
      </c>
      <c r="M133" s="46">
        <f t="shared" si="181"/>
        <v>0.002288454204</v>
      </c>
      <c r="N133" s="46">
        <f t="shared" si="181"/>
        <v>0.002288454204</v>
      </c>
    </row>
    <row r="134" ht="15.75" customHeight="1">
      <c r="A134" s="45" t="s">
        <v>157</v>
      </c>
      <c r="B134" s="46">
        <f t="shared" ref="B134:I134" si="182">+IFERROR(B131/B141,"nm")</f>
        <v>0.1012396694</v>
      </c>
      <c r="C134" s="46">
        <f t="shared" si="182"/>
        <v>0.08414872798</v>
      </c>
      <c r="D134" s="46">
        <f t="shared" si="182"/>
        <v>0.105065666</v>
      </c>
      <c r="E134" s="46">
        <f t="shared" si="182"/>
        <v>0.09212730318</v>
      </c>
      <c r="F134" s="46">
        <f t="shared" si="182"/>
        <v>0.07969924812</v>
      </c>
      <c r="G134" s="46">
        <f t="shared" si="182"/>
        <v>0.05542168675</v>
      </c>
      <c r="H134" s="46">
        <f t="shared" si="182"/>
        <v>0.05512820513</v>
      </c>
      <c r="I134" s="46">
        <f t="shared" si="182"/>
        <v>0.05323193916</v>
      </c>
      <c r="J134" s="51">
        <f t="shared" ref="J134:N134" si="183">+I134</f>
        <v>0.05323193916</v>
      </c>
      <c r="K134" s="51">
        <f t="shared" si="183"/>
        <v>0.05323193916</v>
      </c>
      <c r="L134" s="51">
        <f t="shared" si="183"/>
        <v>0.05323193916</v>
      </c>
      <c r="M134" s="51">
        <f t="shared" si="183"/>
        <v>0.05323193916</v>
      </c>
      <c r="N134" s="51">
        <f t="shared" si="183"/>
        <v>0.05323193916</v>
      </c>
    </row>
    <row r="135" ht="15.75" customHeight="1">
      <c r="A135" s="12" t="s">
        <v>151</v>
      </c>
      <c r="B135" s="12">
        <f>+Historicals!B140</f>
        <v>918</v>
      </c>
      <c r="C135" s="12">
        <f>+Historicals!C140</f>
        <v>1002</v>
      </c>
      <c r="D135" s="12">
        <f>+Historicals!D140</f>
        <v>980</v>
      </c>
      <c r="E135" s="12">
        <f>+Historicals!E140</f>
        <v>1189</v>
      </c>
      <c r="F135" s="12">
        <f>+Historicals!F140</f>
        <v>1323</v>
      </c>
      <c r="G135" s="12">
        <f>+Historicals!G140</f>
        <v>1184</v>
      </c>
      <c r="H135" s="12">
        <f>+Historicals!H140</f>
        <v>1530</v>
      </c>
      <c r="I135" s="12">
        <f>+Historicals!I140</f>
        <v>1896</v>
      </c>
      <c r="J135" s="12">
        <f t="shared" ref="J135:N135" si="184">+J128-J131</f>
        <v>1896</v>
      </c>
      <c r="K135" s="12">
        <f t="shared" si="184"/>
        <v>1896</v>
      </c>
      <c r="L135" s="12">
        <f t="shared" si="184"/>
        <v>1896</v>
      </c>
      <c r="M135" s="12">
        <f t="shared" si="184"/>
        <v>1896</v>
      </c>
      <c r="N135" s="12">
        <f t="shared" si="184"/>
        <v>1896</v>
      </c>
    </row>
    <row r="136" ht="15.75" customHeight="1">
      <c r="A136" s="45" t="s">
        <v>146</v>
      </c>
      <c r="C136" s="46">
        <f t="shared" ref="C136:N136" si="185">+IFERROR(C135/B135-1,"nm")</f>
        <v>0.09150326797</v>
      </c>
      <c r="D136" s="46">
        <f t="shared" si="185"/>
        <v>-0.02195608782</v>
      </c>
      <c r="E136" s="46">
        <f t="shared" si="185"/>
        <v>0.2132653061</v>
      </c>
      <c r="F136" s="46">
        <f t="shared" si="185"/>
        <v>0.1126997477</v>
      </c>
      <c r="G136" s="46">
        <f t="shared" si="185"/>
        <v>-0.1050642479</v>
      </c>
      <c r="H136" s="46">
        <f t="shared" si="185"/>
        <v>0.2922297297</v>
      </c>
      <c r="I136" s="46">
        <f t="shared" si="185"/>
        <v>0.2392156863</v>
      </c>
      <c r="J136" s="46">
        <f t="shared" si="185"/>
        <v>0</v>
      </c>
      <c r="K136" s="46">
        <f t="shared" si="185"/>
        <v>0</v>
      </c>
      <c r="L136" s="46">
        <f t="shared" si="185"/>
        <v>0</v>
      </c>
      <c r="M136" s="46">
        <f t="shared" si="185"/>
        <v>0</v>
      </c>
      <c r="N136" s="46">
        <f t="shared" si="185"/>
        <v>0</v>
      </c>
    </row>
    <row r="137" ht="15.75" customHeight="1">
      <c r="A137" s="45" t="s">
        <v>148</v>
      </c>
      <c r="B137" s="46">
        <f t="shared" ref="B137:N137" si="186">+IFERROR(B135/B$114,"nm")</f>
        <v>0.1972920696</v>
      </c>
      <c r="C137" s="46">
        <f t="shared" si="186"/>
        <v>0.2321056289</v>
      </c>
      <c r="D137" s="46">
        <f t="shared" si="186"/>
        <v>0.2068819928</v>
      </c>
      <c r="E137" s="46">
        <f t="shared" si="186"/>
        <v>0.2301587302</v>
      </c>
      <c r="F137" s="46">
        <f t="shared" si="186"/>
        <v>0.2518081462</v>
      </c>
      <c r="G137" s="46">
        <f t="shared" si="186"/>
        <v>0.2354813047</v>
      </c>
      <c r="H137" s="46">
        <f t="shared" si="186"/>
        <v>0.2863559798</v>
      </c>
      <c r="I137" s="46">
        <f t="shared" si="186"/>
        <v>0.3183879093</v>
      </c>
      <c r="J137" s="52">
        <f t="shared" si="186"/>
        <v>0.3183879093</v>
      </c>
      <c r="K137" s="52">
        <f t="shared" si="186"/>
        <v>0.3183879093</v>
      </c>
      <c r="L137" s="52">
        <f t="shared" si="186"/>
        <v>0.3183879093</v>
      </c>
      <c r="M137" s="52">
        <f t="shared" si="186"/>
        <v>0.3183879093</v>
      </c>
      <c r="N137" s="52">
        <f t="shared" si="186"/>
        <v>0.3183879093</v>
      </c>
    </row>
    <row r="138" ht="15.75" customHeight="1">
      <c r="A138" s="12" t="s">
        <v>152</v>
      </c>
      <c r="B138" s="12">
        <f>+Historicals!B162</f>
        <v>52</v>
      </c>
      <c r="C138" s="12">
        <f>+Historicals!C162</f>
        <v>64</v>
      </c>
      <c r="D138" s="12">
        <f>+Historicals!D162</f>
        <v>59</v>
      </c>
      <c r="E138" s="12">
        <f>+Historicals!E162</f>
        <v>49</v>
      </c>
      <c r="F138" s="12">
        <f>+Historicals!F162</f>
        <v>47</v>
      </c>
      <c r="G138" s="12">
        <f>+Historicals!G162</f>
        <v>41</v>
      </c>
      <c r="H138" s="12">
        <f>+Historicals!H162</f>
        <v>54</v>
      </c>
      <c r="I138" s="12">
        <f>+Historicals!I162</f>
        <v>56</v>
      </c>
      <c r="J138" s="12">
        <f t="shared" ref="J138:N138" si="187">+J114*J140</f>
        <v>56</v>
      </c>
      <c r="K138" s="12">
        <f t="shared" si="187"/>
        <v>56</v>
      </c>
      <c r="L138" s="12">
        <f t="shared" si="187"/>
        <v>56</v>
      </c>
      <c r="M138" s="12">
        <f t="shared" si="187"/>
        <v>56</v>
      </c>
      <c r="N138" s="12">
        <f t="shared" si="187"/>
        <v>56</v>
      </c>
    </row>
    <row r="139" ht="15.75" customHeight="1">
      <c r="A139" s="45" t="s">
        <v>146</v>
      </c>
      <c r="C139" s="46">
        <f t="shared" ref="C139:N139" si="188">+IFERROR(C138/B138-1,"nm")</f>
        <v>0.2307692308</v>
      </c>
      <c r="D139" s="46">
        <f t="shared" si="188"/>
        <v>-0.078125</v>
      </c>
      <c r="E139" s="46">
        <f t="shared" si="188"/>
        <v>-0.1694915254</v>
      </c>
      <c r="F139" s="46">
        <f t="shared" si="188"/>
        <v>-0.04081632653</v>
      </c>
      <c r="G139" s="46">
        <f t="shared" si="188"/>
        <v>-0.1276595745</v>
      </c>
      <c r="H139" s="46">
        <f t="shared" si="188"/>
        <v>0.3170731707</v>
      </c>
      <c r="I139" s="46">
        <f t="shared" si="188"/>
        <v>0.03703703704</v>
      </c>
      <c r="J139" s="46">
        <f t="shared" si="188"/>
        <v>0</v>
      </c>
      <c r="K139" s="46">
        <f t="shared" si="188"/>
        <v>0</v>
      </c>
      <c r="L139" s="46">
        <f t="shared" si="188"/>
        <v>0</v>
      </c>
      <c r="M139" s="46">
        <f t="shared" si="188"/>
        <v>0</v>
      </c>
      <c r="N139" s="46">
        <f t="shared" si="188"/>
        <v>0</v>
      </c>
    </row>
    <row r="140" ht="15.75" customHeight="1">
      <c r="A140" s="45" t="s">
        <v>150</v>
      </c>
      <c r="B140" s="46">
        <f t="shared" ref="B140:I140" si="189">+IFERROR(B138/B$114,"nm")</f>
        <v>0.01117558564</v>
      </c>
      <c r="C140" s="46">
        <f t="shared" si="189"/>
        <v>0.01482511003</v>
      </c>
      <c r="D140" s="46">
        <f t="shared" si="189"/>
        <v>0.01245514038</v>
      </c>
      <c r="E140" s="46">
        <f t="shared" si="189"/>
        <v>0.009485094851</v>
      </c>
      <c r="F140" s="46">
        <f t="shared" si="189"/>
        <v>0.008945565284</v>
      </c>
      <c r="G140" s="46">
        <f t="shared" si="189"/>
        <v>0.00815433572</v>
      </c>
      <c r="H140" s="46">
        <f t="shared" si="189"/>
        <v>0.01010668164</v>
      </c>
      <c r="I140" s="46">
        <f t="shared" si="189"/>
        <v>0.009403862301</v>
      </c>
      <c r="J140" s="51">
        <f t="shared" ref="J140:N140" si="190">+I140</f>
        <v>0.009403862301</v>
      </c>
      <c r="K140" s="51">
        <f t="shared" si="190"/>
        <v>0.009403862301</v>
      </c>
      <c r="L140" s="51">
        <f t="shared" si="190"/>
        <v>0.009403862301</v>
      </c>
      <c r="M140" s="51">
        <f t="shared" si="190"/>
        <v>0.009403862301</v>
      </c>
      <c r="N140" s="51">
        <f t="shared" si="190"/>
        <v>0.009403862301</v>
      </c>
    </row>
    <row r="141" ht="15.75" customHeight="1">
      <c r="A141" s="12" t="s">
        <v>153</v>
      </c>
      <c r="B141" s="12">
        <f>+Historicals!B152</f>
        <v>484</v>
      </c>
      <c r="C141" s="12">
        <f>+Historicals!C152</f>
        <v>511</v>
      </c>
      <c r="D141" s="12">
        <f>+Historicals!D152</f>
        <v>533</v>
      </c>
      <c r="E141" s="12">
        <f>+Historicals!E152</f>
        <v>597</v>
      </c>
      <c r="F141" s="12">
        <f>+Historicals!F152</f>
        <v>665</v>
      </c>
      <c r="G141" s="12">
        <f>+Historicals!G152</f>
        <v>830</v>
      </c>
      <c r="H141" s="12">
        <f>+Historicals!H152</f>
        <v>780</v>
      </c>
      <c r="I141" s="12">
        <f>+Historicals!I152</f>
        <v>789</v>
      </c>
      <c r="J141" s="12">
        <f t="shared" ref="J141:N141" si="191">+J114*J143</f>
        <v>789</v>
      </c>
      <c r="K141" s="12">
        <f t="shared" si="191"/>
        <v>789</v>
      </c>
      <c r="L141" s="12">
        <f t="shared" si="191"/>
        <v>789</v>
      </c>
      <c r="M141" s="12">
        <f t="shared" si="191"/>
        <v>789</v>
      </c>
      <c r="N141" s="12">
        <f t="shared" si="191"/>
        <v>789</v>
      </c>
    </row>
    <row r="142" ht="15.75" customHeight="1">
      <c r="A142" s="45" t="s">
        <v>146</v>
      </c>
      <c r="C142" s="46">
        <f t="shared" ref="C142:I142" si="192">+IFERROR(C141/B141-1,"nm")</f>
        <v>0.05578512397</v>
      </c>
      <c r="D142" s="46">
        <f t="shared" si="192"/>
        <v>0.04305283757</v>
      </c>
      <c r="E142" s="46">
        <f t="shared" si="192"/>
        <v>0.1200750469</v>
      </c>
      <c r="F142" s="46">
        <f t="shared" si="192"/>
        <v>0.1139028476</v>
      </c>
      <c r="G142" s="46">
        <f t="shared" si="192"/>
        <v>0.2481203008</v>
      </c>
      <c r="H142" s="46">
        <f t="shared" si="192"/>
        <v>-0.06024096386</v>
      </c>
      <c r="I142" s="46">
        <f t="shared" si="192"/>
        <v>0.01153846154</v>
      </c>
      <c r="J142" s="46">
        <f t="shared" ref="J142:N142" si="193">+J143+J144</f>
        <v>0.1324937028</v>
      </c>
      <c r="K142" s="46">
        <f t="shared" si="193"/>
        <v>0.1324937028</v>
      </c>
      <c r="L142" s="46">
        <f t="shared" si="193"/>
        <v>0.1324937028</v>
      </c>
      <c r="M142" s="46">
        <f t="shared" si="193"/>
        <v>0.1324937028</v>
      </c>
      <c r="N142" s="46">
        <f t="shared" si="193"/>
        <v>0.1324937028</v>
      </c>
    </row>
    <row r="143" ht="15.75" customHeight="1">
      <c r="A143" s="45" t="s">
        <v>150</v>
      </c>
      <c r="B143" s="46">
        <f t="shared" ref="B143:I143" si="194">+IFERROR(B141/B$114,"nm")</f>
        <v>0.1040189125</v>
      </c>
      <c r="C143" s="46">
        <f t="shared" si="194"/>
        <v>0.1183692379</v>
      </c>
      <c r="D143" s="46">
        <f t="shared" si="194"/>
        <v>0.1125184716</v>
      </c>
      <c r="E143" s="46">
        <f t="shared" si="194"/>
        <v>0.1155632985</v>
      </c>
      <c r="F143" s="46">
        <f t="shared" si="194"/>
        <v>0.1265702322</v>
      </c>
      <c r="G143" s="46">
        <f t="shared" si="194"/>
        <v>0.1650755768</v>
      </c>
      <c r="H143" s="46">
        <f t="shared" si="194"/>
        <v>0.1459854015</v>
      </c>
      <c r="I143" s="46">
        <f t="shared" si="194"/>
        <v>0.1324937028</v>
      </c>
      <c r="J143" s="51">
        <f t="shared" ref="J143:N143" si="195">+I143</f>
        <v>0.1324937028</v>
      </c>
      <c r="K143" s="51">
        <f t="shared" si="195"/>
        <v>0.1324937028</v>
      </c>
      <c r="L143" s="51">
        <f t="shared" si="195"/>
        <v>0.1324937028</v>
      </c>
      <c r="M143" s="51">
        <f t="shared" si="195"/>
        <v>0.1324937028</v>
      </c>
      <c r="N143" s="51">
        <f t="shared" si="195"/>
        <v>0.1324937028</v>
      </c>
    </row>
    <row r="144" ht="15.75" customHeight="1">
      <c r="A144" s="48" t="str">
        <f>+Historicals!A199</f>
        <v>Global Brand Divisions</v>
      </c>
      <c r="B144" s="49"/>
      <c r="C144" s="49"/>
      <c r="D144" s="49"/>
      <c r="E144" s="49"/>
      <c r="F144" s="49"/>
      <c r="G144" s="49"/>
      <c r="H144" s="49"/>
      <c r="I144" s="49"/>
      <c r="J144" s="43"/>
      <c r="K144" s="43"/>
      <c r="L144" s="43"/>
      <c r="M144" s="43"/>
      <c r="N144" s="43"/>
    </row>
    <row r="145" ht="15.75" customHeight="1">
      <c r="A145" s="12" t="s">
        <v>154</v>
      </c>
      <c r="B145" s="12">
        <f>+Historicals!B126</f>
        <v>115</v>
      </c>
      <c r="C145" s="12">
        <f>+Historicals!C126</f>
        <v>73</v>
      </c>
      <c r="D145" s="12">
        <f>+Historicals!D126</f>
        <v>73</v>
      </c>
      <c r="E145" s="12">
        <f>+Historicals!E126</f>
        <v>88</v>
      </c>
      <c r="F145" s="12">
        <f>+Historicals!F126</f>
        <v>42</v>
      </c>
      <c r="G145" s="12">
        <f>+Historicals!G126</f>
        <v>30</v>
      </c>
      <c r="H145" s="12">
        <f>+Historicals!H126</f>
        <v>25</v>
      </c>
      <c r="I145" s="12">
        <f>+Historicals!I126</f>
        <v>102</v>
      </c>
      <c r="J145" s="12">
        <f t="shared" ref="J145:N145" si="196">+I145*(1+J146)</f>
        <v>102</v>
      </c>
      <c r="K145" s="12">
        <f t="shared" si="196"/>
        <v>102</v>
      </c>
      <c r="L145" s="12">
        <f t="shared" si="196"/>
        <v>102</v>
      </c>
      <c r="M145" s="12">
        <f t="shared" si="196"/>
        <v>102</v>
      </c>
      <c r="N145" s="12">
        <f t="shared" si="196"/>
        <v>102</v>
      </c>
    </row>
    <row r="146" ht="15.75" customHeight="1">
      <c r="A146" s="45" t="s">
        <v>146</v>
      </c>
      <c r="C146" s="46">
        <f t="shared" ref="C146:I146" si="197">+IFERROR(C145/B145-1,"nm")</f>
        <v>-0.3652173913</v>
      </c>
      <c r="D146" s="46">
        <f t="shared" si="197"/>
        <v>0</v>
      </c>
      <c r="E146" s="46">
        <f t="shared" si="197"/>
        <v>0.2054794521</v>
      </c>
      <c r="F146" s="46">
        <f t="shared" si="197"/>
        <v>-0.5227272727</v>
      </c>
      <c r="G146" s="46">
        <f t="shared" si="197"/>
        <v>-0.2857142857</v>
      </c>
      <c r="H146" s="46">
        <f t="shared" si="197"/>
        <v>-0.1666666667</v>
      </c>
      <c r="I146" s="46">
        <f t="shared" si="197"/>
        <v>3.08</v>
      </c>
      <c r="J146" s="46">
        <f t="shared" ref="J146:N146" si="198">+J147+J148</f>
        <v>0</v>
      </c>
      <c r="K146" s="46">
        <f t="shared" si="198"/>
        <v>0</v>
      </c>
      <c r="L146" s="46">
        <f t="shared" si="198"/>
        <v>0</v>
      </c>
      <c r="M146" s="46">
        <f t="shared" si="198"/>
        <v>0</v>
      </c>
      <c r="N146" s="46">
        <f t="shared" si="198"/>
        <v>0</v>
      </c>
    </row>
    <row r="147" ht="15.75" customHeight="1">
      <c r="A147" s="45" t="s">
        <v>155</v>
      </c>
      <c r="B147" s="46">
        <f>+Historicals!B199</f>
        <v>-0.02</v>
      </c>
      <c r="C147" s="46">
        <f>+Historicals!C199</f>
        <v>-0.37</v>
      </c>
      <c r="D147" s="46">
        <f>+Historicals!D199</f>
        <v>0.02</v>
      </c>
      <c r="E147" s="46">
        <f>+Historicals!E199</f>
        <v>0.12</v>
      </c>
      <c r="F147" s="46">
        <f>+Historicals!F199</f>
        <v>0.53</v>
      </c>
      <c r="G147" s="46">
        <f>+Historicals!G199</f>
        <v>-0.26</v>
      </c>
      <c r="H147" s="46">
        <f>+Historicals!H199</f>
        <v>-0.17</v>
      </c>
      <c r="I147" s="46">
        <f>+Historicals!I199</f>
        <v>3.02</v>
      </c>
      <c r="J147" s="51">
        <v>0.0</v>
      </c>
      <c r="K147" s="51">
        <f t="shared" ref="K147:N147" si="199">+J147</f>
        <v>0</v>
      </c>
      <c r="L147" s="51">
        <f t="shared" si="199"/>
        <v>0</v>
      </c>
      <c r="M147" s="51">
        <f t="shared" si="199"/>
        <v>0</v>
      </c>
      <c r="N147" s="51">
        <f t="shared" si="199"/>
        <v>0</v>
      </c>
    </row>
    <row r="148" ht="15.75" customHeight="1">
      <c r="A148" s="45" t="s">
        <v>156</v>
      </c>
      <c r="C148" s="46">
        <f t="shared" ref="C148:I148" si="200">+IFERROR(C146-C147,"nm")</f>
        <v>0.004782608696</v>
      </c>
      <c r="D148" s="46">
        <f t="shared" si="200"/>
        <v>-0.02</v>
      </c>
      <c r="E148" s="46">
        <f t="shared" si="200"/>
        <v>0.08547945205</v>
      </c>
      <c r="F148" s="46">
        <f t="shared" si="200"/>
        <v>-1.052727273</v>
      </c>
      <c r="G148" s="46">
        <f t="shared" si="200"/>
        <v>-0.02571428571</v>
      </c>
      <c r="H148" s="46">
        <f t="shared" si="200"/>
        <v>0.003333333333</v>
      </c>
      <c r="I148" s="46">
        <f t="shared" si="200"/>
        <v>0.06</v>
      </c>
      <c r="J148" s="51">
        <v>0.0</v>
      </c>
      <c r="K148" s="51">
        <f t="shared" ref="K148:N148" si="201">+J148</f>
        <v>0</v>
      </c>
      <c r="L148" s="51">
        <f t="shared" si="201"/>
        <v>0</v>
      </c>
      <c r="M148" s="51">
        <f t="shared" si="201"/>
        <v>0</v>
      </c>
      <c r="N148" s="51">
        <f t="shared" si="201"/>
        <v>0</v>
      </c>
    </row>
    <row r="149" ht="15.75" customHeight="1">
      <c r="A149" s="12" t="s">
        <v>147</v>
      </c>
      <c r="B149" s="12">
        <f t="shared" ref="B149:I149" si="202">+B156+B152</f>
        <v>-2053</v>
      </c>
      <c r="C149" s="12">
        <f t="shared" si="202"/>
        <v>-2366</v>
      </c>
      <c r="D149" s="12">
        <f t="shared" si="202"/>
        <v>-2444</v>
      </c>
      <c r="E149" s="12">
        <f t="shared" si="202"/>
        <v>-2441</v>
      </c>
      <c r="F149" s="12">
        <f t="shared" si="202"/>
        <v>-3067</v>
      </c>
      <c r="G149" s="12">
        <f t="shared" si="202"/>
        <v>-3254</v>
      </c>
      <c r="H149" s="12">
        <f t="shared" si="202"/>
        <v>-3434</v>
      </c>
      <c r="I149" s="12">
        <f t="shared" si="202"/>
        <v>-4042</v>
      </c>
      <c r="J149" s="12">
        <f t="shared" ref="J149:N149" si="203">+J145*J151</f>
        <v>-4042</v>
      </c>
      <c r="K149" s="12">
        <f t="shared" si="203"/>
        <v>-4042</v>
      </c>
      <c r="L149" s="12">
        <f t="shared" si="203"/>
        <v>-4042</v>
      </c>
      <c r="M149" s="12">
        <f t="shared" si="203"/>
        <v>-4042</v>
      </c>
      <c r="N149" s="12">
        <f t="shared" si="203"/>
        <v>-4042</v>
      </c>
    </row>
    <row r="150" ht="15.75" customHeight="1">
      <c r="A150" s="45" t="s">
        <v>146</v>
      </c>
      <c r="C150" s="46">
        <f t="shared" ref="C150:N150" si="204">+IFERROR(C149/B149-1,"nm")</f>
        <v>0.1524598149</v>
      </c>
      <c r="D150" s="46">
        <f t="shared" si="204"/>
        <v>0.03296703297</v>
      </c>
      <c r="E150" s="46">
        <f t="shared" si="204"/>
        <v>-0.001227495908</v>
      </c>
      <c r="F150" s="46">
        <f t="shared" si="204"/>
        <v>0.2564522737</v>
      </c>
      <c r="G150" s="46">
        <f t="shared" si="204"/>
        <v>0.06097163352</v>
      </c>
      <c r="H150" s="46">
        <f t="shared" si="204"/>
        <v>0.0553165335</v>
      </c>
      <c r="I150" s="46">
        <f t="shared" si="204"/>
        <v>0.1770529994</v>
      </c>
      <c r="J150" s="46">
        <f t="shared" si="204"/>
        <v>0</v>
      </c>
      <c r="K150" s="46">
        <f t="shared" si="204"/>
        <v>0</v>
      </c>
      <c r="L150" s="46">
        <f t="shared" si="204"/>
        <v>0</v>
      </c>
      <c r="M150" s="46">
        <f t="shared" si="204"/>
        <v>0</v>
      </c>
      <c r="N150" s="46">
        <f t="shared" si="204"/>
        <v>0</v>
      </c>
    </row>
    <row r="151" ht="15.75" customHeight="1">
      <c r="A151" s="45" t="s">
        <v>148</v>
      </c>
      <c r="B151" s="46">
        <f t="shared" ref="B151:I151" si="205">+IFERROR(B149/B$145,"nm")</f>
        <v>-17.85217391</v>
      </c>
      <c r="C151" s="46">
        <f t="shared" si="205"/>
        <v>-32.4109589</v>
      </c>
      <c r="D151" s="46">
        <f t="shared" si="205"/>
        <v>-33.47945205</v>
      </c>
      <c r="E151" s="46">
        <f t="shared" si="205"/>
        <v>-27.73863636</v>
      </c>
      <c r="F151" s="46">
        <f t="shared" si="205"/>
        <v>-73.02380952</v>
      </c>
      <c r="G151" s="46">
        <f t="shared" si="205"/>
        <v>-108.4666667</v>
      </c>
      <c r="H151" s="46">
        <f t="shared" si="205"/>
        <v>-137.36</v>
      </c>
      <c r="I151" s="46">
        <f t="shared" si="205"/>
        <v>-39.62745098</v>
      </c>
      <c r="J151" s="51">
        <f t="shared" ref="J151:N151" si="206">+I151</f>
        <v>-39.62745098</v>
      </c>
      <c r="K151" s="51">
        <f t="shared" si="206"/>
        <v>-39.62745098</v>
      </c>
      <c r="L151" s="51">
        <f t="shared" si="206"/>
        <v>-39.62745098</v>
      </c>
      <c r="M151" s="51">
        <f t="shared" si="206"/>
        <v>-39.62745098</v>
      </c>
      <c r="N151" s="51">
        <f t="shared" si="206"/>
        <v>-39.62745098</v>
      </c>
    </row>
    <row r="152" ht="15.75" customHeight="1">
      <c r="A152" s="12" t="s">
        <v>149</v>
      </c>
      <c r="B152" s="12">
        <f>+Historicals!B175</f>
        <v>210</v>
      </c>
      <c r="C152" s="12">
        <f>+Historicals!C175</f>
        <v>230</v>
      </c>
      <c r="D152" s="12">
        <f>+Historicals!D175</f>
        <v>233</v>
      </c>
      <c r="E152" s="12">
        <f>+Historicals!E175</f>
        <v>217</v>
      </c>
      <c r="F152" s="12">
        <f>+Historicals!F175</f>
        <v>195</v>
      </c>
      <c r="G152" s="12">
        <f>+Historicals!G175</f>
        <v>214</v>
      </c>
      <c r="H152" s="12">
        <f>+Historicals!H175</f>
        <v>222</v>
      </c>
      <c r="I152" s="12">
        <f>+Historicals!I175</f>
        <v>220</v>
      </c>
      <c r="J152" s="12">
        <f t="shared" ref="J152:N152" si="207">+J155*J162</f>
        <v>220</v>
      </c>
      <c r="K152" s="12">
        <f t="shared" si="207"/>
        <v>220</v>
      </c>
      <c r="L152" s="12">
        <f t="shared" si="207"/>
        <v>220</v>
      </c>
      <c r="M152" s="12">
        <f t="shared" si="207"/>
        <v>220</v>
      </c>
      <c r="N152" s="12">
        <f t="shared" si="207"/>
        <v>220</v>
      </c>
    </row>
    <row r="153" ht="15.75" customHeight="1">
      <c r="A153" s="45" t="s">
        <v>146</v>
      </c>
      <c r="C153" s="46">
        <f t="shared" ref="C153:N153" si="208">+IFERROR(C152/B152-1,"nm")</f>
        <v>0.09523809524</v>
      </c>
      <c r="D153" s="46">
        <f t="shared" si="208"/>
        <v>0.01304347826</v>
      </c>
      <c r="E153" s="46">
        <f t="shared" si="208"/>
        <v>-0.0686695279</v>
      </c>
      <c r="F153" s="46">
        <f t="shared" si="208"/>
        <v>-0.1013824885</v>
      </c>
      <c r="G153" s="46">
        <f t="shared" si="208"/>
        <v>0.09743589744</v>
      </c>
      <c r="H153" s="46">
        <f t="shared" si="208"/>
        <v>0.03738317757</v>
      </c>
      <c r="I153" s="46">
        <f t="shared" si="208"/>
        <v>-0.009009009009</v>
      </c>
      <c r="J153" s="46">
        <f t="shared" si="208"/>
        <v>0</v>
      </c>
      <c r="K153" s="46">
        <f t="shared" si="208"/>
        <v>0</v>
      </c>
      <c r="L153" s="46">
        <f t="shared" si="208"/>
        <v>0</v>
      </c>
      <c r="M153" s="46">
        <f t="shared" si="208"/>
        <v>0</v>
      </c>
      <c r="N153" s="46">
        <f t="shared" si="208"/>
        <v>0</v>
      </c>
    </row>
    <row r="154" ht="15.75" customHeight="1">
      <c r="A154" s="45" t="s">
        <v>150</v>
      </c>
      <c r="B154" s="46">
        <f t="shared" ref="B154:I154" si="209">+IFERROR(B152/B$145,"nm")</f>
        <v>1.826086957</v>
      </c>
      <c r="C154" s="46">
        <f t="shared" si="209"/>
        <v>3.150684932</v>
      </c>
      <c r="D154" s="46">
        <f t="shared" si="209"/>
        <v>3.191780822</v>
      </c>
      <c r="E154" s="46">
        <f t="shared" si="209"/>
        <v>2.465909091</v>
      </c>
      <c r="F154" s="46">
        <f t="shared" si="209"/>
        <v>4.642857143</v>
      </c>
      <c r="G154" s="46">
        <f t="shared" si="209"/>
        <v>7.133333333</v>
      </c>
      <c r="H154" s="46">
        <f t="shared" si="209"/>
        <v>8.88</v>
      </c>
      <c r="I154" s="46">
        <f t="shared" si="209"/>
        <v>2.156862745</v>
      </c>
      <c r="J154" s="46">
        <f t="shared" ref="J154:N154" si="210">+IFERROR(J152/J$21,"nm")</f>
        <v>0.01198714107</v>
      </c>
      <c r="K154" s="46">
        <f t="shared" si="210"/>
        <v>0.01198714107</v>
      </c>
      <c r="L154" s="46">
        <f t="shared" si="210"/>
        <v>0.01198714107</v>
      </c>
      <c r="M154" s="46">
        <f t="shared" si="210"/>
        <v>0.01198714107</v>
      </c>
      <c r="N154" s="46">
        <f t="shared" si="210"/>
        <v>0.01198714107</v>
      </c>
    </row>
    <row r="155" ht="15.75" customHeight="1">
      <c r="A155" s="45" t="s">
        <v>157</v>
      </c>
      <c r="B155" s="46">
        <f t="shared" ref="B155:I155" si="211">+IFERROR(B152/B162,"nm")</f>
        <v>1.721311475</v>
      </c>
      <c r="C155" s="46">
        <f t="shared" si="211"/>
        <v>1.84</v>
      </c>
      <c r="D155" s="46">
        <f t="shared" si="211"/>
        <v>1.864</v>
      </c>
      <c r="E155" s="46">
        <f t="shared" si="211"/>
        <v>1.886956522</v>
      </c>
      <c r="F155" s="46">
        <f t="shared" si="211"/>
        <v>1.95</v>
      </c>
      <c r="G155" s="46">
        <f t="shared" si="211"/>
        <v>2.675</v>
      </c>
      <c r="H155" s="46">
        <f t="shared" si="211"/>
        <v>3.523809524</v>
      </c>
      <c r="I155" s="46">
        <f t="shared" si="211"/>
        <v>4.489795918</v>
      </c>
      <c r="J155" s="51">
        <f t="shared" ref="J155:N155" si="212">+I155</f>
        <v>4.489795918</v>
      </c>
      <c r="K155" s="51">
        <f t="shared" si="212"/>
        <v>4.489795918</v>
      </c>
      <c r="L155" s="51">
        <f t="shared" si="212"/>
        <v>4.489795918</v>
      </c>
      <c r="M155" s="51">
        <f t="shared" si="212"/>
        <v>4.489795918</v>
      </c>
      <c r="N155" s="51">
        <f t="shared" si="212"/>
        <v>4.489795918</v>
      </c>
    </row>
    <row r="156" ht="15.75" customHeight="1">
      <c r="A156" s="12" t="s">
        <v>151</v>
      </c>
      <c r="B156" s="12">
        <f>+Historicals!B141</f>
        <v>-2263</v>
      </c>
      <c r="C156" s="12">
        <f>+Historicals!C141</f>
        <v>-2596</v>
      </c>
      <c r="D156" s="12">
        <f>+Historicals!D141</f>
        <v>-2677</v>
      </c>
      <c r="E156" s="12">
        <f>+Historicals!E141</f>
        <v>-2658</v>
      </c>
      <c r="F156" s="12">
        <f>+Historicals!F141</f>
        <v>-3262</v>
      </c>
      <c r="G156" s="12">
        <f>+Historicals!G141</f>
        <v>-3468</v>
      </c>
      <c r="H156" s="12">
        <f>+Historicals!H141</f>
        <v>-3656</v>
      </c>
      <c r="I156" s="12">
        <f>+Historicals!I141</f>
        <v>-4262</v>
      </c>
      <c r="J156" s="12">
        <f t="shared" ref="J156:N156" si="213">+J149-J152</f>
        <v>-4262</v>
      </c>
      <c r="K156" s="12">
        <f t="shared" si="213"/>
        <v>-4262</v>
      </c>
      <c r="L156" s="12">
        <f t="shared" si="213"/>
        <v>-4262</v>
      </c>
      <c r="M156" s="12">
        <f t="shared" si="213"/>
        <v>-4262</v>
      </c>
      <c r="N156" s="12">
        <f t="shared" si="213"/>
        <v>-4262</v>
      </c>
    </row>
    <row r="157" ht="15.75" customHeight="1">
      <c r="A157" s="45" t="s">
        <v>146</v>
      </c>
      <c r="C157" s="46">
        <f t="shared" ref="C157:N157" si="214">+IFERROR(C156/B156-1,"nm")</f>
        <v>0.1471498011</v>
      </c>
      <c r="D157" s="46">
        <f t="shared" si="214"/>
        <v>0.031201849</v>
      </c>
      <c r="E157" s="46">
        <f t="shared" si="214"/>
        <v>-0.007097497198</v>
      </c>
      <c r="F157" s="46">
        <f t="shared" si="214"/>
        <v>0.2272385252</v>
      </c>
      <c r="G157" s="46">
        <f t="shared" si="214"/>
        <v>0.06315144083</v>
      </c>
      <c r="H157" s="46">
        <f t="shared" si="214"/>
        <v>0.05420991926</v>
      </c>
      <c r="I157" s="46">
        <f t="shared" si="214"/>
        <v>0.1657549234</v>
      </c>
      <c r="J157" s="46">
        <f t="shared" si="214"/>
        <v>0</v>
      </c>
      <c r="K157" s="46">
        <f t="shared" si="214"/>
        <v>0</v>
      </c>
      <c r="L157" s="46">
        <f t="shared" si="214"/>
        <v>0</v>
      </c>
      <c r="M157" s="46">
        <f t="shared" si="214"/>
        <v>0</v>
      </c>
      <c r="N157" s="46">
        <f t="shared" si="214"/>
        <v>0</v>
      </c>
    </row>
    <row r="158" ht="15.75" customHeight="1">
      <c r="A158" s="45" t="s">
        <v>148</v>
      </c>
      <c r="B158" s="46">
        <f t="shared" ref="B158:I158" si="215">+IFERROR(B156/B$145,"nm")</f>
        <v>-19.67826087</v>
      </c>
      <c r="C158" s="46">
        <f t="shared" si="215"/>
        <v>-35.56164384</v>
      </c>
      <c r="D158" s="46">
        <f t="shared" si="215"/>
        <v>-36.67123288</v>
      </c>
      <c r="E158" s="46">
        <f t="shared" si="215"/>
        <v>-30.20454545</v>
      </c>
      <c r="F158" s="46">
        <f t="shared" si="215"/>
        <v>-77.66666667</v>
      </c>
      <c r="G158" s="46">
        <f t="shared" si="215"/>
        <v>-115.6</v>
      </c>
      <c r="H158" s="46">
        <f t="shared" si="215"/>
        <v>-146.24</v>
      </c>
      <c r="I158" s="46">
        <f t="shared" si="215"/>
        <v>-41.78431373</v>
      </c>
      <c r="J158" s="46">
        <f t="shared" ref="J158:N158" si="216">+IFERROR(J156/J$21,"nm")</f>
        <v>-0.2322236147</v>
      </c>
      <c r="K158" s="46">
        <f t="shared" si="216"/>
        <v>-0.2322236147</v>
      </c>
      <c r="L158" s="46">
        <f t="shared" si="216"/>
        <v>-0.2322236147</v>
      </c>
      <c r="M158" s="46">
        <f t="shared" si="216"/>
        <v>-0.2322236147</v>
      </c>
      <c r="N158" s="46">
        <f t="shared" si="216"/>
        <v>-0.2322236147</v>
      </c>
    </row>
    <row r="159" ht="15.75" customHeight="1">
      <c r="A159" s="12" t="s">
        <v>152</v>
      </c>
      <c r="B159" s="12">
        <f>+Historicals!B163</f>
        <v>225</v>
      </c>
      <c r="C159" s="12">
        <f>+Historicals!C163</f>
        <v>258</v>
      </c>
      <c r="D159" s="12">
        <f>+Historicals!D163</f>
        <v>278</v>
      </c>
      <c r="E159" s="12">
        <f>+Historicals!E163</f>
        <v>286</v>
      </c>
      <c r="F159" s="12">
        <f>+Historicals!F163</f>
        <v>278</v>
      </c>
      <c r="G159" s="12">
        <f>+Historicals!G163</f>
        <v>438</v>
      </c>
      <c r="H159" s="12">
        <f>+Historicals!H163</f>
        <v>278</v>
      </c>
      <c r="I159" s="12">
        <f>+Historicals!I163</f>
        <v>222</v>
      </c>
      <c r="J159" s="12">
        <f t="shared" ref="J159:N159" si="217">+J145*J161</f>
        <v>222</v>
      </c>
      <c r="K159" s="12">
        <f t="shared" si="217"/>
        <v>222</v>
      </c>
      <c r="L159" s="12">
        <f t="shared" si="217"/>
        <v>222</v>
      </c>
      <c r="M159" s="12">
        <f t="shared" si="217"/>
        <v>222</v>
      </c>
      <c r="N159" s="12">
        <f t="shared" si="217"/>
        <v>222</v>
      </c>
    </row>
    <row r="160" ht="15.75" customHeight="1">
      <c r="A160" s="45" t="s">
        <v>146</v>
      </c>
      <c r="C160" s="46">
        <f t="shared" ref="C160:N160" si="218">+IFERROR(C159/B159-1,"nm")</f>
        <v>0.1466666667</v>
      </c>
      <c r="D160" s="46">
        <f t="shared" si="218"/>
        <v>0.07751937984</v>
      </c>
      <c r="E160" s="46">
        <f t="shared" si="218"/>
        <v>0.02877697842</v>
      </c>
      <c r="F160" s="46">
        <f t="shared" si="218"/>
        <v>-0.02797202797</v>
      </c>
      <c r="G160" s="46">
        <f t="shared" si="218"/>
        <v>0.5755395683</v>
      </c>
      <c r="H160" s="46">
        <f t="shared" si="218"/>
        <v>-0.3652968037</v>
      </c>
      <c r="I160" s="46">
        <f t="shared" si="218"/>
        <v>-0.2014388489</v>
      </c>
      <c r="J160" s="46">
        <f t="shared" si="218"/>
        <v>0</v>
      </c>
      <c r="K160" s="46">
        <f t="shared" si="218"/>
        <v>0</v>
      </c>
      <c r="L160" s="46">
        <f t="shared" si="218"/>
        <v>0</v>
      </c>
      <c r="M160" s="46">
        <f t="shared" si="218"/>
        <v>0</v>
      </c>
      <c r="N160" s="46">
        <f t="shared" si="218"/>
        <v>0</v>
      </c>
    </row>
    <row r="161" ht="15.75" customHeight="1">
      <c r="A161" s="45" t="s">
        <v>150</v>
      </c>
      <c r="B161" s="46">
        <f t="shared" ref="B161:I161" si="219">+IFERROR(B159/B$145,"nm")</f>
        <v>1.956521739</v>
      </c>
      <c r="C161" s="46">
        <f t="shared" si="219"/>
        <v>3.534246575</v>
      </c>
      <c r="D161" s="46">
        <f t="shared" si="219"/>
        <v>3.808219178</v>
      </c>
      <c r="E161" s="46">
        <f t="shared" si="219"/>
        <v>3.25</v>
      </c>
      <c r="F161" s="46">
        <f t="shared" si="219"/>
        <v>6.619047619</v>
      </c>
      <c r="G161" s="46">
        <f t="shared" si="219"/>
        <v>14.6</v>
      </c>
      <c r="H161" s="46">
        <f t="shared" si="219"/>
        <v>11.12</v>
      </c>
      <c r="I161" s="46">
        <f t="shared" si="219"/>
        <v>2.176470588</v>
      </c>
      <c r="J161" s="51">
        <f t="shared" ref="J161:N161" si="220">+I161</f>
        <v>2.176470588</v>
      </c>
      <c r="K161" s="51">
        <f t="shared" si="220"/>
        <v>2.176470588</v>
      </c>
      <c r="L161" s="51">
        <f t="shared" si="220"/>
        <v>2.176470588</v>
      </c>
      <c r="M161" s="51">
        <f t="shared" si="220"/>
        <v>2.176470588</v>
      </c>
      <c r="N161" s="51">
        <f t="shared" si="220"/>
        <v>2.176470588</v>
      </c>
    </row>
    <row r="162" ht="15.75" customHeight="1">
      <c r="A162" s="12" t="s">
        <v>153</v>
      </c>
      <c r="B162" s="12">
        <f>+Historicals!B154</f>
        <v>122</v>
      </c>
      <c r="C162" s="12">
        <f>+Historicals!C154</f>
        <v>125</v>
      </c>
      <c r="D162" s="12">
        <f>+Historicals!D154</f>
        <v>125</v>
      </c>
      <c r="E162" s="12">
        <f>+Historicals!E154</f>
        <v>115</v>
      </c>
      <c r="F162" s="12">
        <f>+Historicals!F154</f>
        <v>100</v>
      </c>
      <c r="G162" s="12">
        <f>+Historicals!G154</f>
        <v>80</v>
      </c>
      <c r="H162" s="12">
        <f>+Historicals!H154</f>
        <v>63</v>
      </c>
      <c r="I162" s="12">
        <f>+Historicals!I154</f>
        <v>49</v>
      </c>
      <c r="J162" s="12">
        <f t="shared" ref="J162:N162" si="221">+J145*J164</f>
        <v>49</v>
      </c>
      <c r="K162" s="12">
        <f t="shared" si="221"/>
        <v>49</v>
      </c>
      <c r="L162" s="12">
        <f t="shared" si="221"/>
        <v>49</v>
      </c>
      <c r="M162" s="12">
        <f t="shared" si="221"/>
        <v>49</v>
      </c>
      <c r="N162" s="12">
        <f t="shared" si="221"/>
        <v>49</v>
      </c>
    </row>
    <row r="163" ht="15.75" customHeight="1">
      <c r="A163" s="45" t="s">
        <v>146</v>
      </c>
      <c r="C163" s="46">
        <f t="shared" ref="C163:I163" si="222">+IFERROR(C162/B162-1,"nm")</f>
        <v>0.02459016393</v>
      </c>
      <c r="D163" s="46">
        <f t="shared" si="222"/>
        <v>0</v>
      </c>
      <c r="E163" s="46">
        <f t="shared" si="222"/>
        <v>-0.08</v>
      </c>
      <c r="F163" s="46">
        <f t="shared" si="222"/>
        <v>-0.1304347826</v>
      </c>
      <c r="G163" s="46">
        <f t="shared" si="222"/>
        <v>-0.2</v>
      </c>
      <c r="H163" s="46">
        <f t="shared" si="222"/>
        <v>-0.2125</v>
      </c>
      <c r="I163" s="46">
        <f t="shared" si="222"/>
        <v>-0.2222222222</v>
      </c>
      <c r="J163" s="46">
        <f t="shared" ref="J163:N163" si="223">+J164+J165</f>
        <v>0.4803921569</v>
      </c>
      <c r="K163" s="46">
        <f t="shared" si="223"/>
        <v>0.4803921569</v>
      </c>
      <c r="L163" s="46">
        <f t="shared" si="223"/>
        <v>0.4803921569</v>
      </c>
      <c r="M163" s="46">
        <f t="shared" si="223"/>
        <v>0.4803921569</v>
      </c>
      <c r="N163" s="46">
        <f t="shared" si="223"/>
        <v>0.4803921569</v>
      </c>
    </row>
    <row r="164" ht="15.75" customHeight="1">
      <c r="A164" s="45" t="s">
        <v>150</v>
      </c>
      <c r="B164" s="46">
        <f t="shared" ref="B164:I164" si="224">+IFERROR(B162/B$145,"nm")</f>
        <v>1.060869565</v>
      </c>
      <c r="C164" s="46">
        <f t="shared" si="224"/>
        <v>1.712328767</v>
      </c>
      <c r="D164" s="46">
        <f t="shared" si="224"/>
        <v>1.712328767</v>
      </c>
      <c r="E164" s="46">
        <f t="shared" si="224"/>
        <v>1.306818182</v>
      </c>
      <c r="F164" s="46">
        <f t="shared" si="224"/>
        <v>2.380952381</v>
      </c>
      <c r="G164" s="46">
        <f t="shared" si="224"/>
        <v>2.666666667</v>
      </c>
      <c r="H164" s="46">
        <f t="shared" si="224"/>
        <v>2.52</v>
      </c>
      <c r="I164" s="46">
        <f t="shared" si="224"/>
        <v>0.4803921569</v>
      </c>
      <c r="J164" s="51">
        <f t="shared" ref="J164:N164" si="225">+I164</f>
        <v>0.4803921569</v>
      </c>
      <c r="K164" s="51">
        <f t="shared" si="225"/>
        <v>0.4803921569</v>
      </c>
      <c r="L164" s="51">
        <f t="shared" si="225"/>
        <v>0.4803921569</v>
      </c>
      <c r="M164" s="51">
        <f t="shared" si="225"/>
        <v>0.4803921569</v>
      </c>
      <c r="N164" s="51">
        <f t="shared" si="225"/>
        <v>0.4803921569</v>
      </c>
    </row>
    <row r="165" ht="15.75" customHeight="1">
      <c r="A165" s="48" t="str">
        <f>+Historicals!A201</f>
        <v>Converse</v>
      </c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</row>
    <row r="166" ht="15.75" customHeight="1">
      <c r="A166" s="12" t="s">
        <v>154</v>
      </c>
      <c r="B166" s="12">
        <f>+Historicals!B128</f>
        <v>1982</v>
      </c>
      <c r="C166" s="12">
        <f>+Historicals!C128</f>
        <v>1955</v>
      </c>
      <c r="D166" s="12">
        <f>+Historicals!D128</f>
        <v>2042</v>
      </c>
      <c r="E166" s="12">
        <f t="shared" ref="E166:I166" si="226">E168+E172+E176+E180</f>
        <v>1886</v>
      </c>
      <c r="F166" s="12">
        <f t="shared" si="226"/>
        <v>1906</v>
      </c>
      <c r="G166" s="12">
        <f t="shared" si="226"/>
        <v>1846</v>
      </c>
      <c r="H166" s="12">
        <f t="shared" si="226"/>
        <v>2205</v>
      </c>
      <c r="I166" s="12">
        <f t="shared" si="226"/>
        <v>2346</v>
      </c>
      <c r="J166" s="12">
        <f t="shared" ref="J166:N166" si="227">+SUM(J168+J172+J176+J180)</f>
        <v>2346</v>
      </c>
      <c r="K166" s="12">
        <f t="shared" si="227"/>
        <v>2346</v>
      </c>
      <c r="L166" s="12">
        <f t="shared" si="227"/>
        <v>2346</v>
      </c>
      <c r="M166" s="12">
        <f t="shared" si="227"/>
        <v>2346</v>
      </c>
      <c r="N166" s="12">
        <f t="shared" si="227"/>
        <v>2346</v>
      </c>
    </row>
    <row r="167" ht="15.75" customHeight="1">
      <c r="A167" s="45" t="s">
        <v>146</v>
      </c>
      <c r="C167" s="46">
        <f t="shared" ref="C167:N167" si="228">+IFERROR(C166/B166-1,"nm")</f>
        <v>-0.01362260343</v>
      </c>
      <c r="D167" s="46">
        <f t="shared" si="228"/>
        <v>0.04450127877</v>
      </c>
      <c r="E167" s="46">
        <f t="shared" si="228"/>
        <v>-0.0763956905</v>
      </c>
      <c r="F167" s="46">
        <f t="shared" si="228"/>
        <v>0.01060445387</v>
      </c>
      <c r="G167" s="46">
        <f t="shared" si="228"/>
        <v>-0.0314795383</v>
      </c>
      <c r="H167" s="46">
        <f t="shared" si="228"/>
        <v>0.1944745395</v>
      </c>
      <c r="I167" s="46">
        <f t="shared" si="228"/>
        <v>0.06394557823</v>
      </c>
      <c r="J167" s="46">
        <f t="shared" si="228"/>
        <v>0</v>
      </c>
      <c r="K167" s="46">
        <f t="shared" si="228"/>
        <v>0</v>
      </c>
      <c r="L167" s="46">
        <f t="shared" si="228"/>
        <v>0</v>
      </c>
      <c r="M167" s="46">
        <f t="shared" si="228"/>
        <v>0</v>
      </c>
      <c r="N167" s="46">
        <f t="shared" si="228"/>
        <v>0</v>
      </c>
    </row>
    <row r="168" ht="15.75" customHeight="1">
      <c r="A168" s="50" t="s">
        <v>117</v>
      </c>
      <c r="E168" s="12">
        <f>+Historicals!E129</f>
        <v>1611</v>
      </c>
      <c r="F168" s="12">
        <f>+Historicals!F129</f>
        <v>1658</v>
      </c>
      <c r="G168" s="12">
        <f>+Historicals!G129</f>
        <v>1642</v>
      </c>
      <c r="H168" s="12">
        <f>+Historicals!H129</f>
        <v>1986</v>
      </c>
      <c r="I168" s="12">
        <f>+Historicals!I129</f>
        <v>2094</v>
      </c>
      <c r="J168" s="12">
        <f t="shared" ref="J168:N168" si="229">+I168*(1+J169)</f>
        <v>2094</v>
      </c>
      <c r="K168" s="12">
        <f t="shared" si="229"/>
        <v>2094</v>
      </c>
      <c r="L168" s="12">
        <f t="shared" si="229"/>
        <v>2094</v>
      </c>
      <c r="M168" s="12">
        <f t="shared" si="229"/>
        <v>2094</v>
      </c>
      <c r="N168" s="12">
        <f t="shared" si="229"/>
        <v>2094</v>
      </c>
    </row>
    <row r="169" ht="15.75" customHeight="1">
      <c r="A169" s="45" t="s">
        <v>146</v>
      </c>
      <c r="E169" s="46"/>
      <c r="F169" s="46">
        <f t="shared" ref="F169:I169" si="230">+IFERROR(F168/E168-1,"nm")</f>
        <v>0.02917442582</v>
      </c>
      <c r="G169" s="46">
        <f t="shared" si="230"/>
        <v>-0.009650180941</v>
      </c>
      <c r="H169" s="46">
        <f t="shared" si="230"/>
        <v>0.209500609</v>
      </c>
      <c r="I169" s="46">
        <f t="shared" si="230"/>
        <v>0.05438066465</v>
      </c>
      <c r="J169" s="46">
        <f t="shared" ref="J169:N169" si="231">+J170+J171</f>
        <v>0</v>
      </c>
      <c r="K169" s="46">
        <f t="shared" si="231"/>
        <v>0</v>
      </c>
      <c r="L169" s="46">
        <f t="shared" si="231"/>
        <v>0</v>
      </c>
      <c r="M169" s="46">
        <f t="shared" si="231"/>
        <v>0</v>
      </c>
      <c r="N169" s="46">
        <f t="shared" si="231"/>
        <v>0</v>
      </c>
    </row>
    <row r="170" ht="15.75" customHeight="1">
      <c r="A170" s="45" t="s">
        <v>155</v>
      </c>
      <c r="F170" s="46">
        <f>+Historicals!F202</f>
        <v>0.05</v>
      </c>
      <c r="G170" s="46">
        <f>+Historicals!G202</f>
        <v>0.01</v>
      </c>
      <c r="H170" s="46">
        <f>+Historicals!H202</f>
        <v>0.17</v>
      </c>
      <c r="I170" s="46">
        <f>+Historicals!I202</f>
        <v>0.06</v>
      </c>
      <c r="J170" s="51">
        <v>0.0</v>
      </c>
      <c r="K170" s="51">
        <f t="shared" ref="K170:N170" si="232">+J170</f>
        <v>0</v>
      </c>
      <c r="L170" s="51">
        <f t="shared" si="232"/>
        <v>0</v>
      </c>
      <c r="M170" s="51">
        <f t="shared" si="232"/>
        <v>0</v>
      </c>
      <c r="N170" s="51">
        <f t="shared" si="232"/>
        <v>0</v>
      </c>
    </row>
    <row r="171" ht="15.75" customHeight="1">
      <c r="A171" s="45" t="s">
        <v>156</v>
      </c>
      <c r="E171" s="46"/>
      <c r="F171" s="46">
        <f t="shared" ref="F171:I171" si="233">+IFERROR(F169-F170,"nm")</f>
        <v>-0.02082557418</v>
      </c>
      <c r="G171" s="46">
        <f t="shared" si="233"/>
        <v>-0.01965018094</v>
      </c>
      <c r="H171" s="46">
        <f t="shared" si="233"/>
        <v>0.03950060901</v>
      </c>
      <c r="I171" s="46">
        <f t="shared" si="233"/>
        <v>-0.005619335347</v>
      </c>
      <c r="J171" s="51">
        <v>0.0</v>
      </c>
      <c r="K171" s="51">
        <f t="shared" ref="K171:N171" si="234">+J171</f>
        <v>0</v>
      </c>
      <c r="L171" s="51">
        <f t="shared" si="234"/>
        <v>0</v>
      </c>
      <c r="M171" s="51">
        <f t="shared" si="234"/>
        <v>0</v>
      </c>
      <c r="N171" s="51">
        <f t="shared" si="234"/>
        <v>0</v>
      </c>
    </row>
    <row r="172" ht="15.75" customHeight="1">
      <c r="A172" s="50" t="s">
        <v>118</v>
      </c>
      <c r="E172" s="12">
        <f>+Historicals!E130</f>
        <v>144</v>
      </c>
      <c r="F172" s="12">
        <f>+Historicals!F130</f>
        <v>118</v>
      </c>
      <c r="G172" s="12">
        <f>+Historicals!G130</f>
        <v>89</v>
      </c>
      <c r="H172" s="12">
        <f>+Historicals!H130</f>
        <v>104</v>
      </c>
      <c r="I172" s="12">
        <f>+Historicals!I130</f>
        <v>103</v>
      </c>
      <c r="J172" s="12">
        <f t="shared" ref="J172:N172" si="235">+I172*(1+J173)</f>
        <v>103</v>
      </c>
      <c r="K172" s="12">
        <f t="shared" si="235"/>
        <v>103</v>
      </c>
      <c r="L172" s="12">
        <f t="shared" si="235"/>
        <v>103</v>
      </c>
      <c r="M172" s="12">
        <f t="shared" si="235"/>
        <v>103</v>
      </c>
      <c r="N172" s="12">
        <f t="shared" si="235"/>
        <v>103</v>
      </c>
    </row>
    <row r="173" ht="15.75" customHeight="1">
      <c r="A173" s="45" t="s">
        <v>146</v>
      </c>
      <c r="E173" s="46"/>
      <c r="F173" s="46">
        <f t="shared" ref="F173:I173" si="236">+IFERROR(F172/E172-1,"nm")</f>
        <v>-0.1805555556</v>
      </c>
      <c r="G173" s="46">
        <f t="shared" si="236"/>
        <v>-0.2457627119</v>
      </c>
      <c r="H173" s="46">
        <f t="shared" si="236"/>
        <v>0.1685393258</v>
      </c>
      <c r="I173" s="46">
        <f t="shared" si="236"/>
        <v>-0.009615384615</v>
      </c>
      <c r="J173" s="46">
        <f t="shared" ref="J173:N173" si="237">+J174+J175</f>
        <v>0</v>
      </c>
      <c r="K173" s="46">
        <f t="shared" si="237"/>
        <v>0</v>
      </c>
      <c r="L173" s="46">
        <f t="shared" si="237"/>
        <v>0</v>
      </c>
      <c r="M173" s="46">
        <f t="shared" si="237"/>
        <v>0</v>
      </c>
      <c r="N173" s="46">
        <f t="shared" si="237"/>
        <v>0</v>
      </c>
    </row>
    <row r="174" ht="15.75" customHeight="1">
      <c r="A174" s="45" t="s">
        <v>155</v>
      </c>
      <c r="F174" s="46">
        <f>+Historicals!F203</f>
        <v>-0.17</v>
      </c>
      <c r="G174" s="46">
        <f>+Historicals!G203</f>
        <v>-0.22</v>
      </c>
      <c r="H174" s="46">
        <f>+Historicals!H203</f>
        <v>0.13</v>
      </c>
      <c r="I174" s="46">
        <f>+Historicals!I203</f>
        <v>-0.03</v>
      </c>
      <c r="J174" s="51">
        <v>0.0</v>
      </c>
      <c r="K174" s="51">
        <f t="shared" ref="K174:N174" si="238">+J174</f>
        <v>0</v>
      </c>
      <c r="L174" s="51">
        <f t="shared" si="238"/>
        <v>0</v>
      </c>
      <c r="M174" s="51">
        <f t="shared" si="238"/>
        <v>0</v>
      </c>
      <c r="N174" s="51">
        <f t="shared" si="238"/>
        <v>0</v>
      </c>
    </row>
    <row r="175" ht="15.75" customHeight="1">
      <c r="A175" s="45" t="s">
        <v>156</v>
      </c>
      <c r="E175" s="46"/>
      <c r="F175" s="46">
        <f t="shared" ref="F175:I175" si="239">+IFERROR(F173-F174,"nm")</f>
        <v>-0.01055555556</v>
      </c>
      <c r="G175" s="46">
        <f t="shared" si="239"/>
        <v>-0.02576271186</v>
      </c>
      <c r="H175" s="46">
        <f t="shared" si="239"/>
        <v>0.03853932584</v>
      </c>
      <c r="I175" s="46">
        <f t="shared" si="239"/>
        <v>0.02038461538</v>
      </c>
      <c r="J175" s="51">
        <v>0.0</v>
      </c>
      <c r="K175" s="51">
        <f t="shared" ref="K175:N175" si="240">+J175</f>
        <v>0</v>
      </c>
      <c r="L175" s="51">
        <f t="shared" si="240"/>
        <v>0</v>
      </c>
      <c r="M175" s="51">
        <f t="shared" si="240"/>
        <v>0</v>
      </c>
      <c r="N175" s="51">
        <f t="shared" si="240"/>
        <v>0</v>
      </c>
    </row>
    <row r="176" ht="15.75" customHeight="1">
      <c r="A176" s="50" t="s">
        <v>119</v>
      </c>
      <c r="E176" s="12">
        <f>+Historicals!E131</f>
        <v>28</v>
      </c>
      <c r="F176" s="12">
        <f>+Historicals!F131</f>
        <v>24</v>
      </c>
      <c r="G176" s="12">
        <f>+Historicals!G131</f>
        <v>25</v>
      </c>
      <c r="H176" s="12">
        <f>+Historicals!H131</f>
        <v>29</v>
      </c>
      <c r="I176" s="12">
        <f>+Historicals!I131</f>
        <v>26</v>
      </c>
      <c r="J176" s="12">
        <f t="shared" ref="J176:N176" si="241">+I176*(1+J177)</f>
        <v>26</v>
      </c>
      <c r="K176" s="12">
        <f t="shared" si="241"/>
        <v>26</v>
      </c>
      <c r="L176" s="12">
        <f t="shared" si="241"/>
        <v>26</v>
      </c>
      <c r="M176" s="12">
        <f t="shared" si="241"/>
        <v>26</v>
      </c>
      <c r="N176" s="12">
        <f t="shared" si="241"/>
        <v>26</v>
      </c>
    </row>
    <row r="177" ht="15.75" customHeight="1">
      <c r="A177" s="45" t="s">
        <v>146</v>
      </c>
      <c r="E177" s="46"/>
      <c r="F177" s="46">
        <f t="shared" ref="F177:I177" si="242">+IFERROR(F176/E176-1,"nm")</f>
        <v>-0.1428571429</v>
      </c>
      <c r="G177" s="46">
        <f t="shared" si="242"/>
        <v>0.04166666667</v>
      </c>
      <c r="H177" s="46">
        <f t="shared" si="242"/>
        <v>0.16</v>
      </c>
      <c r="I177" s="46">
        <f t="shared" si="242"/>
        <v>-0.1034482759</v>
      </c>
      <c r="J177" s="46">
        <f t="shared" ref="J177:N177" si="243">+J178+J179</f>
        <v>0</v>
      </c>
      <c r="K177" s="46">
        <f t="shared" si="243"/>
        <v>0</v>
      </c>
      <c r="L177" s="46">
        <f t="shared" si="243"/>
        <v>0</v>
      </c>
      <c r="M177" s="46">
        <f t="shared" si="243"/>
        <v>0</v>
      </c>
      <c r="N177" s="46">
        <f t="shared" si="243"/>
        <v>0</v>
      </c>
    </row>
    <row r="178" ht="15.75" customHeight="1">
      <c r="A178" s="45" t="s">
        <v>155</v>
      </c>
      <c r="F178" s="46">
        <f>+Historicals!F204</f>
        <v>-0.13</v>
      </c>
      <c r="G178" s="46">
        <f>+Historicals!G204</f>
        <v>0.08</v>
      </c>
      <c r="H178" s="46">
        <f>+Historicals!H204</f>
        <v>0.14</v>
      </c>
      <c r="I178" s="46">
        <f>+Historicals!I204</f>
        <v>-0.16</v>
      </c>
      <c r="J178" s="51">
        <v>0.0</v>
      </c>
      <c r="K178" s="51">
        <f t="shared" ref="K178:N178" si="244">+J178</f>
        <v>0</v>
      </c>
      <c r="L178" s="51">
        <f t="shared" si="244"/>
        <v>0</v>
      </c>
      <c r="M178" s="51">
        <f t="shared" si="244"/>
        <v>0</v>
      </c>
      <c r="N178" s="51">
        <f t="shared" si="244"/>
        <v>0</v>
      </c>
    </row>
    <row r="179" ht="15.75" customHeight="1">
      <c r="A179" s="45" t="s">
        <v>156</v>
      </c>
      <c r="C179" s="46"/>
      <c r="D179" s="46"/>
      <c r="E179" s="46"/>
      <c r="F179" s="46">
        <f t="shared" ref="F179:I179" si="245">+IFERROR(F177-F178,"nm")</f>
        <v>-0.01285714286</v>
      </c>
      <c r="G179" s="46">
        <f t="shared" si="245"/>
        <v>-0.03833333333</v>
      </c>
      <c r="H179" s="46">
        <f t="shared" si="245"/>
        <v>0.02</v>
      </c>
      <c r="I179" s="46">
        <f t="shared" si="245"/>
        <v>0.05655172414</v>
      </c>
      <c r="J179" s="51">
        <v>0.0</v>
      </c>
      <c r="K179" s="51">
        <f t="shared" ref="K179:N179" si="246">+J179</f>
        <v>0</v>
      </c>
      <c r="L179" s="51">
        <f t="shared" si="246"/>
        <v>0</v>
      </c>
      <c r="M179" s="51">
        <f t="shared" si="246"/>
        <v>0</v>
      </c>
      <c r="N179" s="51">
        <f t="shared" si="246"/>
        <v>0</v>
      </c>
    </row>
    <row r="180" ht="15.75" customHeight="1">
      <c r="A180" s="4" t="s">
        <v>126</v>
      </c>
      <c r="C180" s="46"/>
      <c r="D180" s="46"/>
      <c r="E180" s="12">
        <f>+Historicals!E132</f>
        <v>103</v>
      </c>
      <c r="F180" s="12">
        <f>+Historicals!F132</f>
        <v>106</v>
      </c>
      <c r="G180" s="12">
        <f>+Historicals!G132</f>
        <v>90</v>
      </c>
      <c r="H180" s="12">
        <f>+Historicals!H132</f>
        <v>86</v>
      </c>
      <c r="I180" s="12">
        <f>+Historicals!I132</f>
        <v>123</v>
      </c>
      <c r="J180" s="12">
        <f t="shared" ref="J180:N180" si="247">+I180*(1+J181)</f>
        <v>123</v>
      </c>
      <c r="K180" s="12">
        <f t="shared" si="247"/>
        <v>123</v>
      </c>
      <c r="L180" s="12">
        <f t="shared" si="247"/>
        <v>123</v>
      </c>
      <c r="M180" s="12">
        <f t="shared" si="247"/>
        <v>123</v>
      </c>
      <c r="N180" s="12">
        <f t="shared" si="247"/>
        <v>123</v>
      </c>
    </row>
    <row r="181" ht="15.75" customHeight="1">
      <c r="A181" s="45" t="s">
        <v>146</v>
      </c>
      <c r="C181" s="46"/>
      <c r="D181" s="46"/>
      <c r="E181" s="46"/>
      <c r="F181" s="46">
        <f t="shared" ref="F181:I181" si="248">+IFERROR(F180/E180-1,"nm")</f>
        <v>0.02912621359</v>
      </c>
      <c r="G181" s="46">
        <f t="shared" si="248"/>
        <v>-0.1509433962</v>
      </c>
      <c r="H181" s="46">
        <f t="shared" si="248"/>
        <v>-0.04444444444</v>
      </c>
      <c r="I181" s="46">
        <f t="shared" si="248"/>
        <v>0.4302325581</v>
      </c>
      <c r="J181" s="46">
        <f t="shared" ref="J181:N181" si="249">+J182+J183</f>
        <v>0</v>
      </c>
      <c r="K181" s="46">
        <f t="shared" si="249"/>
        <v>0</v>
      </c>
      <c r="L181" s="46">
        <f t="shared" si="249"/>
        <v>0</v>
      </c>
      <c r="M181" s="46">
        <f t="shared" si="249"/>
        <v>0</v>
      </c>
      <c r="N181" s="46">
        <f t="shared" si="249"/>
        <v>0</v>
      </c>
    </row>
    <row r="182" ht="15.75" customHeight="1">
      <c r="A182" s="45" t="s">
        <v>155</v>
      </c>
      <c r="C182" s="46"/>
      <c r="D182" s="46"/>
      <c r="E182" s="46"/>
      <c r="F182" s="46">
        <f>+Historicals!F205</f>
        <v>0.04</v>
      </c>
      <c r="G182" s="46">
        <f>+Historicals!G205</f>
        <v>-0.14</v>
      </c>
      <c r="H182" s="46">
        <f>+Historicals!H205</f>
        <v>-0.01</v>
      </c>
      <c r="I182" s="46">
        <f>+Historicals!I205</f>
        <v>0.42</v>
      </c>
      <c r="J182" s="51">
        <v>0.0</v>
      </c>
      <c r="K182" s="51">
        <f t="shared" ref="K182:N182" si="250">+J182</f>
        <v>0</v>
      </c>
      <c r="L182" s="51">
        <f t="shared" si="250"/>
        <v>0</v>
      </c>
      <c r="M182" s="51">
        <f t="shared" si="250"/>
        <v>0</v>
      </c>
      <c r="N182" s="51">
        <f t="shared" si="250"/>
        <v>0</v>
      </c>
    </row>
    <row r="183" ht="15.75" customHeight="1">
      <c r="A183" s="45" t="s">
        <v>156</v>
      </c>
      <c r="C183" s="46"/>
      <c r="D183" s="46"/>
      <c r="E183" s="46"/>
      <c r="F183" s="46">
        <f t="shared" ref="F183:I183" si="251">+IFERROR(F181-F182,"nm")</f>
        <v>-0.01087378641</v>
      </c>
      <c r="G183" s="46">
        <f t="shared" si="251"/>
        <v>-0.01094339623</v>
      </c>
      <c r="H183" s="46">
        <f t="shared" si="251"/>
        <v>-0.03444444444</v>
      </c>
      <c r="I183" s="46">
        <f t="shared" si="251"/>
        <v>0.01023255814</v>
      </c>
      <c r="J183" s="51">
        <v>0.0</v>
      </c>
      <c r="K183" s="51">
        <f t="shared" ref="K183:N183" si="252">+J183</f>
        <v>0</v>
      </c>
      <c r="L183" s="51">
        <f t="shared" si="252"/>
        <v>0</v>
      </c>
      <c r="M183" s="51">
        <f t="shared" si="252"/>
        <v>0</v>
      </c>
      <c r="N183" s="51">
        <f t="shared" si="252"/>
        <v>0</v>
      </c>
    </row>
    <row r="184" ht="15.75" customHeight="1">
      <c r="A184" s="12" t="s">
        <v>147</v>
      </c>
      <c r="B184" s="12">
        <f t="shared" ref="B184:I184" si="253">+B191+B187</f>
        <v>535</v>
      </c>
      <c r="C184" s="12">
        <f t="shared" si="253"/>
        <v>514</v>
      </c>
      <c r="D184" s="12">
        <f t="shared" si="253"/>
        <v>505</v>
      </c>
      <c r="E184" s="12">
        <f t="shared" si="253"/>
        <v>343</v>
      </c>
      <c r="F184" s="12">
        <f t="shared" si="253"/>
        <v>334</v>
      </c>
      <c r="G184" s="12">
        <f t="shared" si="253"/>
        <v>322</v>
      </c>
      <c r="H184" s="12">
        <f t="shared" si="253"/>
        <v>569</v>
      </c>
      <c r="I184" s="12">
        <f t="shared" si="253"/>
        <v>691</v>
      </c>
      <c r="J184" s="12">
        <f t="shared" ref="J184:N184" si="254">+J166*J186</f>
        <v>691</v>
      </c>
      <c r="K184" s="12">
        <f t="shared" si="254"/>
        <v>691</v>
      </c>
      <c r="L184" s="12">
        <f t="shared" si="254"/>
        <v>691</v>
      </c>
      <c r="M184" s="12">
        <f t="shared" si="254"/>
        <v>691</v>
      </c>
      <c r="N184" s="12">
        <f t="shared" si="254"/>
        <v>691</v>
      </c>
    </row>
    <row r="185" ht="15.75" customHeight="1">
      <c r="A185" s="45" t="s">
        <v>146</v>
      </c>
      <c r="C185" s="46">
        <f t="shared" ref="C185:N185" si="255">+IFERROR(C184/B184-1,"nm")</f>
        <v>-0.03925233645</v>
      </c>
      <c r="D185" s="46">
        <f t="shared" si="255"/>
        <v>-0.01750972763</v>
      </c>
      <c r="E185" s="46">
        <f t="shared" si="255"/>
        <v>-0.3207920792</v>
      </c>
      <c r="F185" s="46">
        <f t="shared" si="255"/>
        <v>-0.02623906706</v>
      </c>
      <c r="G185" s="46">
        <f t="shared" si="255"/>
        <v>-0.03592814371</v>
      </c>
      <c r="H185" s="46">
        <f t="shared" si="255"/>
        <v>0.7670807453</v>
      </c>
      <c r="I185" s="46">
        <f t="shared" si="255"/>
        <v>0.2144112478</v>
      </c>
      <c r="J185" s="46">
        <f t="shared" si="255"/>
        <v>0</v>
      </c>
      <c r="K185" s="46">
        <f t="shared" si="255"/>
        <v>0</v>
      </c>
      <c r="L185" s="46">
        <f t="shared" si="255"/>
        <v>0</v>
      </c>
      <c r="M185" s="46">
        <f t="shared" si="255"/>
        <v>0</v>
      </c>
      <c r="N185" s="46">
        <f t="shared" si="255"/>
        <v>0</v>
      </c>
    </row>
    <row r="186" ht="15.75" customHeight="1">
      <c r="A186" s="45" t="s">
        <v>148</v>
      </c>
      <c r="B186" s="46">
        <f t="shared" ref="B186:I186" si="256">+IFERROR(B184/B$166,"nm")</f>
        <v>0.2699293643</v>
      </c>
      <c r="C186" s="46">
        <f t="shared" si="256"/>
        <v>0.262915601</v>
      </c>
      <c r="D186" s="46">
        <f t="shared" si="256"/>
        <v>0.2473065622</v>
      </c>
      <c r="E186" s="46">
        <f t="shared" si="256"/>
        <v>0.1818663839</v>
      </c>
      <c r="F186" s="46">
        <f t="shared" si="256"/>
        <v>0.1752360965</v>
      </c>
      <c r="G186" s="46">
        <f t="shared" si="256"/>
        <v>0.1744312026</v>
      </c>
      <c r="H186" s="46">
        <f t="shared" si="256"/>
        <v>0.2580498866</v>
      </c>
      <c r="I186" s="46">
        <f t="shared" si="256"/>
        <v>0.2945439045</v>
      </c>
      <c r="J186" s="51">
        <f t="shared" ref="J186:N186" si="257">+I186</f>
        <v>0.2945439045</v>
      </c>
      <c r="K186" s="51">
        <f t="shared" si="257"/>
        <v>0.2945439045</v>
      </c>
      <c r="L186" s="51">
        <f t="shared" si="257"/>
        <v>0.2945439045</v>
      </c>
      <c r="M186" s="51">
        <f t="shared" si="257"/>
        <v>0.2945439045</v>
      </c>
      <c r="N186" s="51">
        <f t="shared" si="257"/>
        <v>0.2945439045</v>
      </c>
    </row>
    <row r="187" ht="15.75" customHeight="1">
      <c r="A187" s="12" t="s">
        <v>149</v>
      </c>
      <c r="B187" s="12">
        <f>+Historicals!B177</f>
        <v>18</v>
      </c>
      <c r="C187" s="12">
        <f>+Historicals!C177</f>
        <v>27</v>
      </c>
      <c r="D187" s="12">
        <f>+Historicals!D177</f>
        <v>28</v>
      </c>
      <c r="E187" s="12">
        <f>+Historicals!E177</f>
        <v>33</v>
      </c>
      <c r="F187" s="12">
        <f>+Historicals!F177</f>
        <v>31</v>
      </c>
      <c r="G187" s="12">
        <f>+Historicals!G177</f>
        <v>25</v>
      </c>
      <c r="H187" s="12">
        <f>+Historicals!H177</f>
        <v>26</v>
      </c>
      <c r="I187" s="12">
        <f>+Historicals!I177</f>
        <v>22</v>
      </c>
      <c r="J187" s="12">
        <f t="shared" ref="J187:N187" si="258">+J190*J197</f>
        <v>22</v>
      </c>
      <c r="K187" s="12">
        <f t="shared" si="258"/>
        <v>22</v>
      </c>
      <c r="L187" s="12">
        <f t="shared" si="258"/>
        <v>22</v>
      </c>
      <c r="M187" s="12">
        <f t="shared" si="258"/>
        <v>22</v>
      </c>
      <c r="N187" s="12">
        <f t="shared" si="258"/>
        <v>22</v>
      </c>
    </row>
    <row r="188" ht="15.75" customHeight="1">
      <c r="A188" s="45" t="s">
        <v>146</v>
      </c>
      <c r="C188" s="46">
        <f t="shared" ref="C188:N188" si="259">+IFERROR(C187/B187-1,"nm")</f>
        <v>0.5</v>
      </c>
      <c r="D188" s="46">
        <f t="shared" si="259"/>
        <v>0.03703703704</v>
      </c>
      <c r="E188" s="46">
        <f t="shared" si="259"/>
        <v>0.1785714286</v>
      </c>
      <c r="F188" s="46">
        <f t="shared" si="259"/>
        <v>-0.06060606061</v>
      </c>
      <c r="G188" s="46">
        <f t="shared" si="259"/>
        <v>-0.1935483871</v>
      </c>
      <c r="H188" s="46">
        <f t="shared" si="259"/>
        <v>0.04</v>
      </c>
      <c r="I188" s="46">
        <f t="shared" si="259"/>
        <v>-0.1538461538</v>
      </c>
      <c r="J188" s="46">
        <f t="shared" si="259"/>
        <v>0</v>
      </c>
      <c r="K188" s="46">
        <f t="shared" si="259"/>
        <v>0</v>
      </c>
      <c r="L188" s="46">
        <f t="shared" si="259"/>
        <v>0</v>
      </c>
      <c r="M188" s="46">
        <f t="shared" si="259"/>
        <v>0</v>
      </c>
      <c r="N188" s="46">
        <f t="shared" si="259"/>
        <v>0</v>
      </c>
    </row>
    <row r="189" ht="15.75" customHeight="1">
      <c r="A189" s="45" t="s">
        <v>150</v>
      </c>
      <c r="B189" s="46">
        <f t="shared" ref="B189:I189" si="260">+IFERROR(B187/B$166,"nm")</f>
        <v>0.009081735621</v>
      </c>
      <c r="C189" s="46">
        <f t="shared" si="260"/>
        <v>0.01381074169</v>
      </c>
      <c r="D189" s="46">
        <f t="shared" si="260"/>
        <v>0.01371204701</v>
      </c>
      <c r="E189" s="46">
        <f t="shared" si="260"/>
        <v>0.01749734889</v>
      </c>
      <c r="F189" s="46">
        <f t="shared" si="260"/>
        <v>0.01626442812</v>
      </c>
      <c r="G189" s="46">
        <f t="shared" si="260"/>
        <v>0.01354279523</v>
      </c>
      <c r="H189" s="46">
        <f t="shared" si="260"/>
        <v>0.01179138322</v>
      </c>
      <c r="I189" s="46">
        <f t="shared" si="260"/>
        <v>0.009377664109</v>
      </c>
      <c r="J189" s="46">
        <f t="shared" ref="J189:N189" si="261">+IFERROR(J187/J$21,"nm")</f>
        <v>0.001198714107</v>
      </c>
      <c r="K189" s="46">
        <f t="shared" si="261"/>
        <v>0.001198714107</v>
      </c>
      <c r="L189" s="46">
        <f t="shared" si="261"/>
        <v>0.001198714107</v>
      </c>
      <c r="M189" s="46">
        <f t="shared" si="261"/>
        <v>0.001198714107</v>
      </c>
      <c r="N189" s="46">
        <f t="shared" si="261"/>
        <v>0.001198714107</v>
      </c>
    </row>
    <row r="190" ht="15.75" customHeight="1">
      <c r="A190" s="45" t="s">
        <v>157</v>
      </c>
      <c r="B190" s="46">
        <f t="shared" ref="B190:I190" si="262">+IFERROR(B187/B197,"nm")</f>
        <v>0.1475409836</v>
      </c>
      <c r="C190" s="46">
        <f t="shared" si="262"/>
        <v>0.216</v>
      </c>
      <c r="D190" s="46">
        <f t="shared" si="262"/>
        <v>0.224</v>
      </c>
      <c r="E190" s="46">
        <f t="shared" si="262"/>
        <v>0.2869565217</v>
      </c>
      <c r="F190" s="46">
        <f t="shared" si="262"/>
        <v>0.31</v>
      </c>
      <c r="G190" s="46">
        <f t="shared" si="262"/>
        <v>0.3125</v>
      </c>
      <c r="H190" s="46">
        <f t="shared" si="262"/>
        <v>0.4126984127</v>
      </c>
      <c r="I190" s="46">
        <f t="shared" si="262"/>
        <v>0.4489795918</v>
      </c>
      <c r="J190" s="51">
        <f t="shared" ref="J190:N190" si="263">+I190</f>
        <v>0.4489795918</v>
      </c>
      <c r="K190" s="51">
        <f t="shared" si="263"/>
        <v>0.4489795918</v>
      </c>
      <c r="L190" s="51">
        <f t="shared" si="263"/>
        <v>0.4489795918</v>
      </c>
      <c r="M190" s="51">
        <f t="shared" si="263"/>
        <v>0.4489795918</v>
      </c>
      <c r="N190" s="51">
        <f t="shared" si="263"/>
        <v>0.4489795918</v>
      </c>
    </row>
    <row r="191" ht="15.75" customHeight="1">
      <c r="A191" s="12" t="s">
        <v>151</v>
      </c>
      <c r="B191" s="12">
        <f>+Historicals!B143</f>
        <v>517</v>
      </c>
      <c r="C191" s="12">
        <f>+Historicals!C143</f>
        <v>487</v>
      </c>
      <c r="D191" s="12">
        <f>+Historicals!D143</f>
        <v>477</v>
      </c>
      <c r="E191" s="12">
        <f>+Historicals!E143</f>
        <v>310</v>
      </c>
      <c r="F191" s="12">
        <f>+Historicals!F143</f>
        <v>303</v>
      </c>
      <c r="G191" s="12">
        <f>+Historicals!G143</f>
        <v>297</v>
      </c>
      <c r="H191" s="12">
        <f>+Historicals!H143</f>
        <v>543</v>
      </c>
      <c r="I191" s="12">
        <f>+Historicals!I143</f>
        <v>669</v>
      </c>
      <c r="J191" s="12">
        <f t="shared" ref="J191:N191" si="264">+J184-J187</f>
        <v>669</v>
      </c>
      <c r="K191" s="12">
        <f t="shared" si="264"/>
        <v>669</v>
      </c>
      <c r="L191" s="12">
        <f t="shared" si="264"/>
        <v>669</v>
      </c>
      <c r="M191" s="12">
        <f t="shared" si="264"/>
        <v>669</v>
      </c>
      <c r="N191" s="12">
        <f t="shared" si="264"/>
        <v>669</v>
      </c>
    </row>
    <row r="192" ht="15.75" customHeight="1">
      <c r="A192" s="45" t="s">
        <v>146</v>
      </c>
      <c r="C192" s="46">
        <f t="shared" ref="C192:N192" si="265">+IFERROR(C191/B191-1,"nm")</f>
        <v>-0.0580270793</v>
      </c>
      <c r="D192" s="46">
        <f t="shared" si="265"/>
        <v>-0.0205338809</v>
      </c>
      <c r="E192" s="46">
        <f t="shared" si="265"/>
        <v>-0.3501048218</v>
      </c>
      <c r="F192" s="46">
        <f t="shared" si="265"/>
        <v>-0.02258064516</v>
      </c>
      <c r="G192" s="46">
        <f t="shared" si="265"/>
        <v>-0.0198019802</v>
      </c>
      <c r="H192" s="46">
        <f t="shared" si="265"/>
        <v>0.8282828283</v>
      </c>
      <c r="I192" s="46">
        <f t="shared" si="265"/>
        <v>0.2320441989</v>
      </c>
      <c r="J192" s="46">
        <f t="shared" si="265"/>
        <v>0</v>
      </c>
      <c r="K192" s="46">
        <f t="shared" si="265"/>
        <v>0</v>
      </c>
      <c r="L192" s="46">
        <f t="shared" si="265"/>
        <v>0</v>
      </c>
      <c r="M192" s="46">
        <f t="shared" si="265"/>
        <v>0</v>
      </c>
      <c r="N192" s="46">
        <f t="shared" si="265"/>
        <v>0</v>
      </c>
    </row>
    <row r="193" ht="15.75" customHeight="1">
      <c r="A193" s="45" t="s">
        <v>148</v>
      </c>
      <c r="B193" s="46">
        <f t="shared" ref="B193:I193" si="266">+IFERROR(B191/B$166,"nm")</f>
        <v>0.2608476287</v>
      </c>
      <c r="C193" s="46">
        <f t="shared" si="266"/>
        <v>0.2491048593</v>
      </c>
      <c r="D193" s="46">
        <f t="shared" si="266"/>
        <v>0.2335945152</v>
      </c>
      <c r="E193" s="46">
        <f t="shared" si="266"/>
        <v>0.164369035</v>
      </c>
      <c r="F193" s="46">
        <f t="shared" si="266"/>
        <v>0.1589716684</v>
      </c>
      <c r="G193" s="46">
        <f t="shared" si="266"/>
        <v>0.1608884074</v>
      </c>
      <c r="H193" s="46">
        <f t="shared" si="266"/>
        <v>0.2462585034</v>
      </c>
      <c r="I193" s="46">
        <f t="shared" si="266"/>
        <v>0.2851662404</v>
      </c>
      <c r="J193" s="46">
        <f t="shared" ref="J193:N193" si="267">+IFERROR(J191/J$21,"nm")</f>
        <v>0.03645180624</v>
      </c>
      <c r="K193" s="46">
        <f t="shared" si="267"/>
        <v>0.03645180624</v>
      </c>
      <c r="L193" s="46">
        <f t="shared" si="267"/>
        <v>0.03645180624</v>
      </c>
      <c r="M193" s="46">
        <f t="shared" si="267"/>
        <v>0.03645180624</v>
      </c>
      <c r="N193" s="46">
        <f t="shared" si="267"/>
        <v>0.03645180624</v>
      </c>
    </row>
    <row r="194" ht="15.75" customHeight="1">
      <c r="A194" s="12" t="s">
        <v>152</v>
      </c>
      <c r="B194" s="12">
        <f>+Historicals!B165</f>
        <v>69</v>
      </c>
      <c r="C194" s="12">
        <f>+Historicals!C165</f>
        <v>39</v>
      </c>
      <c r="D194" s="12">
        <f>+Historicals!D165</f>
        <v>30</v>
      </c>
      <c r="E194" s="12">
        <f>+Historicals!E165</f>
        <v>22</v>
      </c>
      <c r="F194" s="12">
        <f>+Historicals!F165</f>
        <v>18</v>
      </c>
      <c r="G194" s="12">
        <f>+Historicals!G165</f>
        <v>12</v>
      </c>
      <c r="H194" s="12">
        <f>+Historicals!H165</f>
        <v>7</v>
      </c>
      <c r="I194" s="12">
        <f>+Historicals!I165</f>
        <v>9</v>
      </c>
      <c r="J194" s="12">
        <f t="shared" ref="J194:N194" si="268">+J166*J196</f>
        <v>9</v>
      </c>
      <c r="K194" s="12">
        <f t="shared" si="268"/>
        <v>9</v>
      </c>
      <c r="L194" s="12">
        <f t="shared" si="268"/>
        <v>9</v>
      </c>
      <c r="M194" s="12">
        <f t="shared" si="268"/>
        <v>9</v>
      </c>
      <c r="N194" s="12">
        <f t="shared" si="268"/>
        <v>9</v>
      </c>
    </row>
    <row r="195" ht="15.75" customHeight="1">
      <c r="A195" s="45" t="s">
        <v>146</v>
      </c>
      <c r="C195" s="46">
        <f t="shared" ref="C195:N195" si="269">+IFERROR(C194/B194-1,"nm")</f>
        <v>-0.4347826087</v>
      </c>
      <c r="D195" s="46">
        <f t="shared" si="269"/>
        <v>-0.2307692308</v>
      </c>
      <c r="E195" s="46">
        <f t="shared" si="269"/>
        <v>-0.2666666667</v>
      </c>
      <c r="F195" s="46">
        <f t="shared" si="269"/>
        <v>-0.1818181818</v>
      </c>
      <c r="G195" s="46">
        <f t="shared" si="269"/>
        <v>-0.3333333333</v>
      </c>
      <c r="H195" s="46">
        <f t="shared" si="269"/>
        <v>-0.4166666667</v>
      </c>
      <c r="I195" s="46">
        <f t="shared" si="269"/>
        <v>0.2857142857</v>
      </c>
      <c r="J195" s="46">
        <f t="shared" si="269"/>
        <v>0</v>
      </c>
      <c r="K195" s="46">
        <f t="shared" si="269"/>
        <v>0</v>
      </c>
      <c r="L195" s="46">
        <f t="shared" si="269"/>
        <v>0</v>
      </c>
      <c r="M195" s="46">
        <f t="shared" si="269"/>
        <v>0</v>
      </c>
      <c r="N195" s="46">
        <f t="shared" si="269"/>
        <v>0</v>
      </c>
    </row>
    <row r="196" ht="15.75" customHeight="1">
      <c r="A196" s="45" t="s">
        <v>150</v>
      </c>
      <c r="B196" s="46">
        <f t="shared" ref="B196:I196" si="270">+IFERROR(B194/B$166,"nm")</f>
        <v>0.03481331988</v>
      </c>
      <c r="C196" s="46">
        <f t="shared" si="270"/>
        <v>0.0199488491</v>
      </c>
      <c r="D196" s="46">
        <f t="shared" si="270"/>
        <v>0.01469147894</v>
      </c>
      <c r="E196" s="46">
        <f t="shared" si="270"/>
        <v>0.01166489926</v>
      </c>
      <c r="F196" s="46">
        <f t="shared" si="270"/>
        <v>0.00944386149</v>
      </c>
      <c r="G196" s="46">
        <f t="shared" si="270"/>
        <v>0.006500541712</v>
      </c>
      <c r="H196" s="46">
        <f t="shared" si="270"/>
        <v>0.003174603175</v>
      </c>
      <c r="I196" s="46">
        <f t="shared" si="270"/>
        <v>0.003836317136</v>
      </c>
      <c r="J196" s="51">
        <f t="shared" ref="J196:N196" si="271">+I196</f>
        <v>0.003836317136</v>
      </c>
      <c r="K196" s="51">
        <f t="shared" si="271"/>
        <v>0.003836317136</v>
      </c>
      <c r="L196" s="51">
        <f t="shared" si="271"/>
        <v>0.003836317136</v>
      </c>
      <c r="M196" s="51">
        <f t="shared" si="271"/>
        <v>0.003836317136</v>
      </c>
      <c r="N196" s="51">
        <f t="shared" si="271"/>
        <v>0.003836317136</v>
      </c>
    </row>
    <row r="197" ht="15.75" customHeight="1">
      <c r="A197" s="12" t="s">
        <v>153</v>
      </c>
      <c r="B197" s="12">
        <f>+Historicals!B154</f>
        <v>122</v>
      </c>
      <c r="C197" s="12">
        <f>+Historicals!C154</f>
        <v>125</v>
      </c>
      <c r="D197" s="12">
        <f>+Historicals!D154</f>
        <v>125</v>
      </c>
      <c r="E197" s="12">
        <f>+Historicals!E154</f>
        <v>115</v>
      </c>
      <c r="F197" s="12">
        <f>+Historicals!F154</f>
        <v>100</v>
      </c>
      <c r="G197" s="12">
        <f>+Historicals!G154</f>
        <v>80</v>
      </c>
      <c r="H197" s="12">
        <f>+Historicals!H154</f>
        <v>63</v>
      </c>
      <c r="I197" s="12">
        <f>+Historicals!I154</f>
        <v>49</v>
      </c>
      <c r="J197" s="12">
        <f t="shared" ref="J197:N197" si="272">+J166*J199</f>
        <v>49</v>
      </c>
      <c r="K197" s="12">
        <f t="shared" si="272"/>
        <v>49</v>
      </c>
      <c r="L197" s="12">
        <f t="shared" si="272"/>
        <v>49</v>
      </c>
      <c r="M197" s="12">
        <f t="shared" si="272"/>
        <v>49</v>
      </c>
      <c r="N197" s="12">
        <f t="shared" si="272"/>
        <v>49</v>
      </c>
    </row>
    <row r="198" ht="15.75" customHeight="1">
      <c r="A198" s="45" t="s">
        <v>146</v>
      </c>
      <c r="C198" s="46">
        <f t="shared" ref="C198:I198" si="273">+IFERROR(C197/B197-1,"nm")</f>
        <v>0.02459016393</v>
      </c>
      <c r="D198" s="46">
        <f t="shared" si="273"/>
        <v>0</v>
      </c>
      <c r="E198" s="46">
        <f t="shared" si="273"/>
        <v>-0.08</v>
      </c>
      <c r="F198" s="46">
        <f t="shared" si="273"/>
        <v>-0.1304347826</v>
      </c>
      <c r="G198" s="46">
        <f t="shared" si="273"/>
        <v>-0.2</v>
      </c>
      <c r="H198" s="46">
        <f t="shared" si="273"/>
        <v>-0.2125</v>
      </c>
      <c r="I198" s="46">
        <f t="shared" si="273"/>
        <v>-0.2222222222</v>
      </c>
      <c r="J198" s="46">
        <f t="shared" ref="J198:N198" si="274">+J199+J200</f>
        <v>0.02088661552</v>
      </c>
      <c r="K198" s="46">
        <f t="shared" si="274"/>
        <v>0.02088661552</v>
      </c>
      <c r="L198" s="46">
        <f t="shared" si="274"/>
        <v>0.02088661552</v>
      </c>
      <c r="M198" s="46">
        <f t="shared" si="274"/>
        <v>0.02088661552</v>
      </c>
      <c r="N198" s="46">
        <f t="shared" si="274"/>
        <v>0.02088661552</v>
      </c>
    </row>
    <row r="199" ht="15.75" customHeight="1">
      <c r="A199" s="45" t="s">
        <v>150</v>
      </c>
      <c r="B199" s="46">
        <f t="shared" ref="B199:I199" si="275">+IFERROR(B197/B$166,"nm")</f>
        <v>0.06155398587</v>
      </c>
      <c r="C199" s="46">
        <f t="shared" si="275"/>
        <v>0.06393861893</v>
      </c>
      <c r="D199" s="46">
        <f t="shared" si="275"/>
        <v>0.06121449559</v>
      </c>
      <c r="E199" s="46">
        <f t="shared" si="275"/>
        <v>0.06097560976</v>
      </c>
      <c r="F199" s="46">
        <f t="shared" si="275"/>
        <v>0.05246589717</v>
      </c>
      <c r="G199" s="46">
        <f t="shared" si="275"/>
        <v>0.04333694475</v>
      </c>
      <c r="H199" s="46">
        <f t="shared" si="275"/>
        <v>0.02857142857</v>
      </c>
      <c r="I199" s="46">
        <f t="shared" si="275"/>
        <v>0.02088661552</v>
      </c>
      <c r="J199" s="51">
        <f t="shared" ref="J199:N199" si="276">+I199</f>
        <v>0.02088661552</v>
      </c>
      <c r="K199" s="51">
        <f t="shared" si="276"/>
        <v>0.02088661552</v>
      </c>
      <c r="L199" s="51">
        <f t="shared" si="276"/>
        <v>0.02088661552</v>
      </c>
      <c r="M199" s="51">
        <f t="shared" si="276"/>
        <v>0.02088661552</v>
      </c>
      <c r="N199" s="51">
        <f t="shared" si="276"/>
        <v>0.02088661552</v>
      </c>
    </row>
    <row r="200" ht="15.75" customHeight="1">
      <c r="A200" s="48" t="str">
        <f>+Historicals!A206</f>
        <v>Corporate</v>
      </c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</row>
    <row r="201" ht="15.75" customHeight="1">
      <c r="A201" s="12" t="s">
        <v>154</v>
      </c>
      <c r="B201" s="12">
        <f>+Historicals!B133</f>
        <v>-82</v>
      </c>
      <c r="C201" s="12">
        <f>+Historicals!C133</f>
        <v>-86</v>
      </c>
      <c r="D201" s="12">
        <f>+Historicals!D133</f>
        <v>75</v>
      </c>
      <c r="E201" s="12">
        <f>+Historicals!E133</f>
        <v>26</v>
      </c>
      <c r="F201" s="12">
        <f>+Historicals!F133</f>
        <v>-7</v>
      </c>
      <c r="G201" s="12">
        <f>+Historicals!G133</f>
        <v>-11</v>
      </c>
      <c r="H201" s="12">
        <f>+Historicals!H133</f>
        <v>40</v>
      </c>
      <c r="I201" s="12">
        <f>+Historicals!I133</f>
        <v>-72</v>
      </c>
      <c r="J201" s="12">
        <f t="shared" ref="J201:N201" si="277">+I201*(1+J202)</f>
        <v>-72</v>
      </c>
      <c r="K201" s="12">
        <f t="shared" si="277"/>
        <v>-72</v>
      </c>
      <c r="L201" s="12">
        <f t="shared" si="277"/>
        <v>-72</v>
      </c>
      <c r="M201" s="12">
        <f t="shared" si="277"/>
        <v>-72</v>
      </c>
      <c r="N201" s="12">
        <f t="shared" si="277"/>
        <v>-72</v>
      </c>
    </row>
    <row r="202" ht="15.75" customHeight="1">
      <c r="A202" s="45" t="s">
        <v>146</v>
      </c>
      <c r="C202" s="46">
        <f t="shared" ref="C202:I202" si="278">+IFERROR(C201/B201-1,"nm")</f>
        <v>0.0487804878</v>
      </c>
      <c r="D202" s="46">
        <f t="shared" si="278"/>
        <v>-1.872093023</v>
      </c>
      <c r="E202" s="46">
        <f t="shared" si="278"/>
        <v>-0.6533333333</v>
      </c>
      <c r="F202" s="46">
        <f t="shared" si="278"/>
        <v>-1.269230769</v>
      </c>
      <c r="G202" s="46">
        <f t="shared" si="278"/>
        <v>0.5714285714</v>
      </c>
      <c r="H202" s="46">
        <f t="shared" si="278"/>
        <v>-4.636363636</v>
      </c>
      <c r="I202" s="46">
        <f t="shared" si="278"/>
        <v>-2.8</v>
      </c>
      <c r="J202" s="46">
        <f t="shared" ref="J202:N202" si="279">+J203+J204</f>
        <v>0</v>
      </c>
      <c r="K202" s="46">
        <f t="shared" si="279"/>
        <v>0</v>
      </c>
      <c r="L202" s="46">
        <f t="shared" si="279"/>
        <v>0</v>
      </c>
      <c r="M202" s="46">
        <f t="shared" si="279"/>
        <v>0</v>
      </c>
      <c r="N202" s="46">
        <f t="shared" si="279"/>
        <v>0</v>
      </c>
    </row>
    <row r="203" ht="15.75" customHeight="1">
      <c r="A203" s="45" t="s">
        <v>155</v>
      </c>
      <c r="B203" s="46">
        <f>+Historicals!B206</f>
        <v>0.06</v>
      </c>
      <c r="C203" s="46">
        <f>+Historicals!C206</f>
        <v>0.07</v>
      </c>
      <c r="D203" s="46" t="str">
        <f>+Historicals!D206</f>
        <v>n/a</v>
      </c>
      <c r="E203" s="46">
        <f>+Historicals!E206</f>
        <v>-1.01</v>
      </c>
      <c r="F203" s="46">
        <f>+Historicals!F206</f>
        <v>0.24</v>
      </c>
      <c r="G203" s="46">
        <f>+Historicals!G206</f>
        <v>0.09</v>
      </c>
      <c r="H203" s="46">
        <f>+Historicals!H206</f>
        <v>0.15</v>
      </c>
      <c r="I203" s="46">
        <f>+IFERROR(I201/H201-1,"nm")</f>
        <v>-2.8</v>
      </c>
      <c r="J203" s="51">
        <v>0.0</v>
      </c>
      <c r="K203" s="51">
        <f t="shared" ref="K203:N203" si="280">+J203</f>
        <v>0</v>
      </c>
      <c r="L203" s="51">
        <f t="shared" si="280"/>
        <v>0</v>
      </c>
      <c r="M203" s="51">
        <f t="shared" si="280"/>
        <v>0</v>
      </c>
      <c r="N203" s="51">
        <f t="shared" si="280"/>
        <v>0</v>
      </c>
    </row>
    <row r="204" ht="15.75" customHeight="1">
      <c r="A204" s="45" t="s">
        <v>156</v>
      </c>
      <c r="C204" s="46">
        <f>+IFERROR(C202-C203,"nm")</f>
        <v>-0.0212195122</v>
      </c>
      <c r="D204" s="46"/>
      <c r="E204" s="46">
        <f t="shared" ref="E204:I204" si="281">+IFERROR(E202-E203,"nm")</f>
        <v>0.3566666667</v>
      </c>
      <c r="F204" s="46">
        <f t="shared" si="281"/>
        <v>-1.509230769</v>
      </c>
      <c r="G204" s="46">
        <f t="shared" si="281"/>
        <v>0.4814285714</v>
      </c>
      <c r="H204" s="46">
        <f t="shared" si="281"/>
        <v>-4.786363636</v>
      </c>
      <c r="I204" s="46">
        <f t="shared" si="281"/>
        <v>0</v>
      </c>
      <c r="J204" s="51">
        <v>0.0</v>
      </c>
      <c r="K204" s="51">
        <f t="shared" ref="K204:N204" si="282">+J204</f>
        <v>0</v>
      </c>
      <c r="L204" s="51">
        <f t="shared" si="282"/>
        <v>0</v>
      </c>
      <c r="M204" s="51">
        <f t="shared" si="282"/>
        <v>0</v>
      </c>
      <c r="N204" s="51">
        <f t="shared" si="282"/>
        <v>0</v>
      </c>
    </row>
    <row r="205" ht="15.75" customHeight="1">
      <c r="A205" s="12" t="s">
        <v>147</v>
      </c>
      <c r="B205" s="12">
        <f t="shared" ref="B205:I205" si="283">+B212+B208</f>
        <v>-1026</v>
      </c>
      <c r="C205" s="12">
        <f t="shared" si="283"/>
        <v>-1089</v>
      </c>
      <c r="D205" s="12">
        <f t="shared" si="283"/>
        <v>-633</v>
      </c>
      <c r="E205" s="12">
        <f t="shared" si="283"/>
        <v>-1346</v>
      </c>
      <c r="F205" s="12">
        <f t="shared" si="283"/>
        <v>-1694</v>
      </c>
      <c r="G205" s="12">
        <f t="shared" si="283"/>
        <v>-1855</v>
      </c>
      <c r="H205" s="12">
        <f t="shared" si="283"/>
        <v>-2120</v>
      </c>
      <c r="I205" s="12">
        <f t="shared" si="283"/>
        <v>-2085</v>
      </c>
      <c r="J205" s="12">
        <f t="shared" ref="J205:N205" si="284">+J201*J207</f>
        <v>-2085</v>
      </c>
      <c r="K205" s="12">
        <f t="shared" si="284"/>
        <v>-2085</v>
      </c>
      <c r="L205" s="12">
        <f t="shared" si="284"/>
        <v>-2085</v>
      </c>
      <c r="M205" s="12">
        <f t="shared" si="284"/>
        <v>-2085</v>
      </c>
      <c r="N205" s="12">
        <f t="shared" si="284"/>
        <v>-2085</v>
      </c>
    </row>
    <row r="206" ht="15.75" customHeight="1">
      <c r="A206" s="45" t="s">
        <v>146</v>
      </c>
      <c r="C206" s="46">
        <f t="shared" ref="C206:N206" si="285">+IFERROR(C205/B205-1,"nm")</f>
        <v>0.06140350877</v>
      </c>
      <c r="D206" s="46">
        <f t="shared" si="285"/>
        <v>-0.4187327824</v>
      </c>
      <c r="E206" s="46">
        <f t="shared" si="285"/>
        <v>1.126382306</v>
      </c>
      <c r="F206" s="46">
        <f t="shared" si="285"/>
        <v>0.2585438336</v>
      </c>
      <c r="G206" s="46">
        <f t="shared" si="285"/>
        <v>0.09504132231</v>
      </c>
      <c r="H206" s="46">
        <f t="shared" si="285"/>
        <v>0.1428571429</v>
      </c>
      <c r="I206" s="46">
        <f t="shared" si="285"/>
        <v>-0.01650943396</v>
      </c>
      <c r="J206" s="46">
        <f t="shared" si="285"/>
        <v>0</v>
      </c>
      <c r="K206" s="46">
        <f t="shared" si="285"/>
        <v>0</v>
      </c>
      <c r="L206" s="46">
        <f t="shared" si="285"/>
        <v>0</v>
      </c>
      <c r="M206" s="46">
        <f t="shared" si="285"/>
        <v>0</v>
      </c>
      <c r="N206" s="46">
        <f t="shared" si="285"/>
        <v>0</v>
      </c>
    </row>
    <row r="207" ht="15.75" customHeight="1">
      <c r="A207" s="45" t="s">
        <v>148</v>
      </c>
      <c r="B207" s="46">
        <f t="shared" ref="B207:I207" si="286">+IFERROR(B205/B$201,"nm")</f>
        <v>12.51219512</v>
      </c>
      <c r="C207" s="46">
        <f t="shared" si="286"/>
        <v>12.6627907</v>
      </c>
      <c r="D207" s="46">
        <f t="shared" si="286"/>
        <v>-8.44</v>
      </c>
      <c r="E207" s="46">
        <f t="shared" si="286"/>
        <v>-51.76923077</v>
      </c>
      <c r="F207" s="46">
        <f t="shared" si="286"/>
        <v>242</v>
      </c>
      <c r="G207" s="46">
        <f t="shared" si="286"/>
        <v>168.6363636</v>
      </c>
      <c r="H207" s="46">
        <f t="shared" si="286"/>
        <v>-53</v>
      </c>
      <c r="I207" s="46">
        <f t="shared" si="286"/>
        <v>28.95833333</v>
      </c>
      <c r="J207" s="51">
        <f t="shared" ref="J207:N207" si="287">+I207</f>
        <v>28.95833333</v>
      </c>
      <c r="K207" s="51">
        <f t="shared" si="287"/>
        <v>28.95833333</v>
      </c>
      <c r="L207" s="51">
        <f t="shared" si="287"/>
        <v>28.95833333</v>
      </c>
      <c r="M207" s="51">
        <f t="shared" si="287"/>
        <v>28.95833333</v>
      </c>
      <c r="N207" s="51">
        <f t="shared" si="287"/>
        <v>28.95833333</v>
      </c>
    </row>
    <row r="208" ht="15.75" customHeight="1">
      <c r="A208" s="12" t="s">
        <v>149</v>
      </c>
      <c r="B208" s="12">
        <f>+Historicals!B178</f>
        <v>75</v>
      </c>
      <c r="C208" s="12">
        <f>+Historicals!C178</f>
        <v>84</v>
      </c>
      <c r="D208" s="12">
        <f>+Historicals!D178</f>
        <v>91</v>
      </c>
      <c r="E208" s="12">
        <f>+Historicals!E178</f>
        <v>110</v>
      </c>
      <c r="F208" s="12">
        <f>+Historicals!F178</f>
        <v>116</v>
      </c>
      <c r="G208" s="12">
        <f>+Historicals!G178</f>
        <v>112</v>
      </c>
      <c r="H208" s="12">
        <f>+Historicals!H178</f>
        <v>141</v>
      </c>
      <c r="I208" s="12">
        <f>+Historicals!I178</f>
        <v>134</v>
      </c>
      <c r="J208" s="12">
        <f t="shared" ref="J208:N208" si="288">+J211*J218</f>
        <v>134</v>
      </c>
      <c r="K208" s="12">
        <f t="shared" si="288"/>
        <v>134</v>
      </c>
      <c r="L208" s="12">
        <f t="shared" si="288"/>
        <v>134</v>
      </c>
      <c r="M208" s="12">
        <f t="shared" si="288"/>
        <v>134</v>
      </c>
      <c r="N208" s="12">
        <f t="shared" si="288"/>
        <v>134</v>
      </c>
    </row>
    <row r="209" ht="15.75" customHeight="1">
      <c r="A209" s="45" t="s">
        <v>146</v>
      </c>
      <c r="C209" s="46">
        <f t="shared" ref="C209:N209" si="289">+IFERROR(C208/B208-1,"nm")</f>
        <v>0.12</v>
      </c>
      <c r="D209" s="46">
        <f t="shared" si="289"/>
        <v>0.08333333333</v>
      </c>
      <c r="E209" s="46">
        <f t="shared" si="289"/>
        <v>0.2087912088</v>
      </c>
      <c r="F209" s="46">
        <f t="shared" si="289"/>
        <v>0.05454545455</v>
      </c>
      <c r="G209" s="46">
        <f t="shared" si="289"/>
        <v>-0.03448275862</v>
      </c>
      <c r="H209" s="46">
        <f t="shared" si="289"/>
        <v>0.2589285714</v>
      </c>
      <c r="I209" s="46">
        <f t="shared" si="289"/>
        <v>-0.04964539007</v>
      </c>
      <c r="J209" s="46">
        <f t="shared" si="289"/>
        <v>0</v>
      </c>
      <c r="K209" s="46">
        <f t="shared" si="289"/>
        <v>0</v>
      </c>
      <c r="L209" s="46">
        <f t="shared" si="289"/>
        <v>0</v>
      </c>
      <c r="M209" s="46">
        <f t="shared" si="289"/>
        <v>0</v>
      </c>
      <c r="N209" s="46">
        <f t="shared" si="289"/>
        <v>0</v>
      </c>
    </row>
    <row r="210" ht="15.75" customHeight="1">
      <c r="A210" s="45" t="s">
        <v>150</v>
      </c>
      <c r="B210" s="46">
        <f t="shared" ref="B210:I210" si="290">+IFERROR(B208/B$201,"nm")</f>
        <v>-0.9146341463</v>
      </c>
      <c r="C210" s="46">
        <f t="shared" si="290"/>
        <v>-0.976744186</v>
      </c>
      <c r="D210" s="46">
        <f t="shared" si="290"/>
        <v>1.213333333</v>
      </c>
      <c r="E210" s="46">
        <f t="shared" si="290"/>
        <v>4.230769231</v>
      </c>
      <c r="F210" s="46">
        <f t="shared" si="290"/>
        <v>-16.57142857</v>
      </c>
      <c r="G210" s="46">
        <f t="shared" si="290"/>
        <v>-10.18181818</v>
      </c>
      <c r="H210" s="46">
        <f t="shared" si="290"/>
        <v>3.525</v>
      </c>
      <c r="I210" s="46">
        <f t="shared" si="290"/>
        <v>-1.861111111</v>
      </c>
      <c r="J210" s="46">
        <f t="shared" ref="J210:N210" si="291">+IFERROR(J208/J$21,"nm")</f>
        <v>0.00730125865</v>
      </c>
      <c r="K210" s="46">
        <f t="shared" si="291"/>
        <v>0.00730125865</v>
      </c>
      <c r="L210" s="46">
        <f t="shared" si="291"/>
        <v>0.00730125865</v>
      </c>
      <c r="M210" s="46">
        <f t="shared" si="291"/>
        <v>0.00730125865</v>
      </c>
      <c r="N210" s="46">
        <f t="shared" si="291"/>
        <v>0.00730125865</v>
      </c>
    </row>
    <row r="211" ht="15.75" customHeight="1">
      <c r="A211" s="45" t="s">
        <v>157</v>
      </c>
      <c r="B211" s="46">
        <f t="shared" ref="B211:I211" si="292">+IFERROR(B208/B218,"nm")</f>
        <v>0.1051893408</v>
      </c>
      <c r="C211" s="46">
        <f t="shared" si="292"/>
        <v>0.08964781217</v>
      </c>
      <c r="D211" s="46">
        <f t="shared" si="292"/>
        <v>0.07350565428</v>
      </c>
      <c r="E211" s="46">
        <f t="shared" si="292"/>
        <v>0.07586206897</v>
      </c>
      <c r="F211" s="46">
        <f t="shared" si="292"/>
        <v>0.06933652122</v>
      </c>
      <c r="G211" s="46">
        <f t="shared" si="292"/>
        <v>0.05845511482</v>
      </c>
      <c r="H211" s="46">
        <f t="shared" si="292"/>
        <v>0.07540106952</v>
      </c>
      <c r="I211" s="46">
        <f t="shared" si="292"/>
        <v>0.07374793616</v>
      </c>
      <c r="J211" s="51">
        <f t="shared" ref="J211:N211" si="293">+I211</f>
        <v>0.07374793616</v>
      </c>
      <c r="K211" s="51">
        <f t="shared" si="293"/>
        <v>0.07374793616</v>
      </c>
      <c r="L211" s="51">
        <f t="shared" si="293"/>
        <v>0.07374793616</v>
      </c>
      <c r="M211" s="51">
        <f t="shared" si="293"/>
        <v>0.07374793616</v>
      </c>
      <c r="N211" s="51">
        <f t="shared" si="293"/>
        <v>0.07374793616</v>
      </c>
    </row>
    <row r="212" ht="15.75" customHeight="1">
      <c r="A212" s="12" t="s">
        <v>151</v>
      </c>
      <c r="B212" s="12">
        <f>+Historicals!B144</f>
        <v>-1101</v>
      </c>
      <c r="C212" s="12">
        <f>+Historicals!C144</f>
        <v>-1173</v>
      </c>
      <c r="D212" s="12">
        <f>+Historicals!D144</f>
        <v>-724</v>
      </c>
      <c r="E212" s="12">
        <f>+Historicals!E144</f>
        <v>-1456</v>
      </c>
      <c r="F212" s="12">
        <f>+Historicals!F144</f>
        <v>-1810</v>
      </c>
      <c r="G212" s="12">
        <f>+Historicals!G144</f>
        <v>-1967</v>
      </c>
      <c r="H212" s="12">
        <f>+Historicals!H144</f>
        <v>-2261</v>
      </c>
      <c r="I212" s="12">
        <f>+Historicals!I144</f>
        <v>-2219</v>
      </c>
      <c r="J212" s="12">
        <f>+Historicals!I144</f>
        <v>-2219</v>
      </c>
      <c r="K212" s="12">
        <f t="shared" ref="K212:N212" si="294">+K205-K208</f>
        <v>-2219</v>
      </c>
      <c r="L212" s="12">
        <f t="shared" si="294"/>
        <v>-2219</v>
      </c>
      <c r="M212" s="12">
        <f t="shared" si="294"/>
        <v>-2219</v>
      </c>
      <c r="N212" s="12">
        <f t="shared" si="294"/>
        <v>-2219</v>
      </c>
    </row>
    <row r="213" ht="15.75" customHeight="1">
      <c r="A213" s="45" t="s">
        <v>146</v>
      </c>
      <c r="C213" s="46">
        <f t="shared" ref="C213:N213" si="295">+IFERROR(C212/B212-1,"nm")</f>
        <v>0.06539509537</v>
      </c>
      <c r="D213" s="46">
        <f t="shared" si="295"/>
        <v>-0.3827791986</v>
      </c>
      <c r="E213" s="46">
        <f t="shared" si="295"/>
        <v>1.011049724</v>
      </c>
      <c r="F213" s="46">
        <f t="shared" si="295"/>
        <v>0.2431318681</v>
      </c>
      <c r="G213" s="46">
        <f t="shared" si="295"/>
        <v>0.08674033149</v>
      </c>
      <c r="H213" s="46">
        <f t="shared" si="295"/>
        <v>0.1494661922</v>
      </c>
      <c r="I213" s="46">
        <f t="shared" si="295"/>
        <v>-0.01857585139</v>
      </c>
      <c r="J213" s="46">
        <f t="shared" si="295"/>
        <v>0</v>
      </c>
      <c r="K213" s="46">
        <f t="shared" si="295"/>
        <v>0</v>
      </c>
      <c r="L213" s="46">
        <f t="shared" si="295"/>
        <v>0</v>
      </c>
      <c r="M213" s="46">
        <f t="shared" si="295"/>
        <v>0</v>
      </c>
      <c r="N213" s="46">
        <f t="shared" si="295"/>
        <v>0</v>
      </c>
    </row>
    <row r="214" ht="15.75" customHeight="1">
      <c r="A214" s="45" t="s">
        <v>148</v>
      </c>
      <c r="B214" s="46">
        <f t="shared" ref="B214:I214" si="296">+IFERROR(B212/B$201,"nm")</f>
        <v>13.42682927</v>
      </c>
      <c r="C214" s="46">
        <f t="shared" si="296"/>
        <v>13.63953488</v>
      </c>
      <c r="D214" s="46">
        <f t="shared" si="296"/>
        <v>-9.653333333</v>
      </c>
      <c r="E214" s="46">
        <f t="shared" si="296"/>
        <v>-56</v>
      </c>
      <c r="F214" s="46">
        <f t="shared" si="296"/>
        <v>258.5714286</v>
      </c>
      <c r="G214" s="46">
        <f t="shared" si="296"/>
        <v>178.8181818</v>
      </c>
      <c r="H214" s="46">
        <f t="shared" si="296"/>
        <v>-56.525</v>
      </c>
      <c r="I214" s="46">
        <f t="shared" si="296"/>
        <v>30.81944444</v>
      </c>
      <c r="J214" s="46">
        <f t="shared" ref="J214:N214" si="297">+IFERROR(J212/J$21,"nm")</f>
        <v>-0.1209066638</v>
      </c>
      <c r="K214" s="46">
        <f t="shared" si="297"/>
        <v>-0.1209066638</v>
      </c>
      <c r="L214" s="46">
        <f t="shared" si="297"/>
        <v>-0.1209066638</v>
      </c>
      <c r="M214" s="46">
        <f t="shared" si="297"/>
        <v>-0.1209066638</v>
      </c>
      <c r="N214" s="46">
        <f t="shared" si="297"/>
        <v>-0.1209066638</v>
      </c>
    </row>
    <row r="215" ht="15.75" customHeight="1">
      <c r="A215" s="12" t="s">
        <v>152</v>
      </c>
      <c r="B215" s="12">
        <f>+Historicals!B166</f>
        <v>144</v>
      </c>
      <c r="C215" s="12">
        <f>+Historicals!C166</f>
        <v>312</v>
      </c>
      <c r="D215" s="12">
        <f>+Historicals!D166</f>
        <v>387</v>
      </c>
      <c r="E215" s="12">
        <f>+Historicals!E166</f>
        <v>325</v>
      </c>
      <c r="F215" s="12">
        <f>+Historicals!F166</f>
        <v>333</v>
      </c>
      <c r="G215" s="12">
        <f>+Historicals!G166</f>
        <v>356</v>
      </c>
      <c r="H215" s="12">
        <f>+Historicals!H166</f>
        <v>107</v>
      </c>
      <c r="I215" s="12">
        <f>+Historicals!I166</f>
        <v>50</v>
      </c>
      <c r="J215" s="12">
        <f t="shared" ref="J215:N215" si="298">+J201*J217</f>
        <v>50</v>
      </c>
      <c r="K215" s="12">
        <f t="shared" si="298"/>
        <v>50</v>
      </c>
      <c r="L215" s="12">
        <f t="shared" si="298"/>
        <v>50</v>
      </c>
      <c r="M215" s="12">
        <f t="shared" si="298"/>
        <v>50</v>
      </c>
      <c r="N215" s="12">
        <f t="shared" si="298"/>
        <v>50</v>
      </c>
    </row>
    <row r="216" ht="15.75" customHeight="1">
      <c r="A216" s="45" t="s">
        <v>146</v>
      </c>
      <c r="C216" s="46">
        <f t="shared" ref="C216:N216" si="299">+IFERROR(C215/B215-1,"nm")</f>
        <v>1.166666667</v>
      </c>
      <c r="D216" s="46">
        <f t="shared" si="299"/>
        <v>0.2403846154</v>
      </c>
      <c r="E216" s="46">
        <f t="shared" si="299"/>
        <v>-0.1602067183</v>
      </c>
      <c r="F216" s="46">
        <f t="shared" si="299"/>
        <v>0.02461538462</v>
      </c>
      <c r="G216" s="46">
        <f t="shared" si="299"/>
        <v>0.06906906907</v>
      </c>
      <c r="H216" s="46">
        <f t="shared" si="299"/>
        <v>-0.6994382022</v>
      </c>
      <c r="I216" s="46">
        <f t="shared" si="299"/>
        <v>-0.5327102804</v>
      </c>
      <c r="J216" s="46">
        <f t="shared" si="299"/>
        <v>0</v>
      </c>
      <c r="K216" s="46">
        <f t="shared" si="299"/>
        <v>0</v>
      </c>
      <c r="L216" s="46">
        <f t="shared" si="299"/>
        <v>0</v>
      </c>
      <c r="M216" s="46">
        <f t="shared" si="299"/>
        <v>0</v>
      </c>
      <c r="N216" s="46">
        <f t="shared" si="299"/>
        <v>0</v>
      </c>
    </row>
    <row r="217" ht="15.75" customHeight="1">
      <c r="A217" s="45" t="s">
        <v>150</v>
      </c>
      <c r="B217" s="46">
        <f t="shared" ref="B217:I217" si="300">+IFERROR(B215/B$201,"nm")</f>
        <v>-1.756097561</v>
      </c>
      <c r="C217" s="46">
        <f t="shared" si="300"/>
        <v>-3.627906977</v>
      </c>
      <c r="D217" s="46">
        <f t="shared" si="300"/>
        <v>5.16</v>
      </c>
      <c r="E217" s="46">
        <f t="shared" si="300"/>
        <v>12.5</v>
      </c>
      <c r="F217" s="46">
        <f t="shared" si="300"/>
        <v>-47.57142857</v>
      </c>
      <c r="G217" s="46">
        <f t="shared" si="300"/>
        <v>-32.36363636</v>
      </c>
      <c r="H217" s="46">
        <f t="shared" si="300"/>
        <v>2.675</v>
      </c>
      <c r="I217" s="46">
        <f t="shared" si="300"/>
        <v>-0.6944444444</v>
      </c>
      <c r="J217" s="51">
        <f t="shared" ref="J217:N217" si="301">+I217</f>
        <v>-0.6944444444</v>
      </c>
      <c r="K217" s="51">
        <f t="shared" si="301"/>
        <v>-0.6944444444</v>
      </c>
      <c r="L217" s="51">
        <f t="shared" si="301"/>
        <v>-0.6944444444</v>
      </c>
      <c r="M217" s="51">
        <f t="shared" si="301"/>
        <v>-0.6944444444</v>
      </c>
      <c r="N217" s="51">
        <f t="shared" si="301"/>
        <v>-0.6944444444</v>
      </c>
    </row>
    <row r="218" ht="15.75" customHeight="1">
      <c r="A218" s="12" t="s">
        <v>153</v>
      </c>
      <c r="B218" s="12">
        <f>+Historicals!B155</f>
        <v>713</v>
      </c>
      <c r="C218" s="12">
        <f>+Historicals!C155</f>
        <v>937</v>
      </c>
      <c r="D218" s="12">
        <f>+Historicals!D155</f>
        <v>1238</v>
      </c>
      <c r="E218" s="12">
        <f>+Historicals!E155</f>
        <v>1450</v>
      </c>
      <c r="F218" s="12">
        <f>+Historicals!F155</f>
        <v>1673</v>
      </c>
      <c r="G218" s="12">
        <f>+Historicals!G155</f>
        <v>1916</v>
      </c>
      <c r="H218" s="12">
        <f>+Historicals!H155</f>
        <v>1870</v>
      </c>
      <c r="I218" s="12">
        <f>+Historicals!I155</f>
        <v>1817</v>
      </c>
      <c r="J218" s="12">
        <f t="shared" ref="J218:N218" si="302">+J201*J220</f>
        <v>1817</v>
      </c>
      <c r="K218" s="12">
        <f t="shared" si="302"/>
        <v>1817</v>
      </c>
      <c r="L218" s="12">
        <f t="shared" si="302"/>
        <v>1817</v>
      </c>
      <c r="M218" s="12">
        <f t="shared" si="302"/>
        <v>1817</v>
      </c>
      <c r="N218" s="12">
        <f t="shared" si="302"/>
        <v>1817</v>
      </c>
    </row>
    <row r="219" ht="15.75" customHeight="1">
      <c r="A219" s="45" t="s">
        <v>146</v>
      </c>
      <c r="C219" s="46">
        <f t="shared" ref="C219:I219" si="303">+IFERROR(C218/B218-1,"nm")</f>
        <v>0.3141654979</v>
      </c>
      <c r="D219" s="46">
        <f t="shared" si="303"/>
        <v>0.3212379936</v>
      </c>
      <c r="E219" s="46">
        <f t="shared" si="303"/>
        <v>0.1712439418</v>
      </c>
      <c r="F219" s="46">
        <f t="shared" si="303"/>
        <v>0.1537931034</v>
      </c>
      <c r="G219" s="46">
        <f t="shared" si="303"/>
        <v>0.1452480574</v>
      </c>
      <c r="H219" s="46">
        <f t="shared" si="303"/>
        <v>-0.02400835073</v>
      </c>
      <c r="I219" s="46">
        <f t="shared" si="303"/>
        <v>-0.02834224599</v>
      </c>
      <c r="J219" s="46">
        <f t="shared" ref="J219:N219" si="304">+J220+J221</f>
        <v>-25.23611111</v>
      </c>
      <c r="K219" s="46">
        <f t="shared" si="304"/>
        <v>-25.23611111</v>
      </c>
      <c r="L219" s="46">
        <f t="shared" si="304"/>
        <v>-25.23611111</v>
      </c>
      <c r="M219" s="46">
        <f t="shared" si="304"/>
        <v>-25.23611111</v>
      </c>
      <c r="N219" s="46">
        <f t="shared" si="304"/>
        <v>-25.23611111</v>
      </c>
    </row>
    <row r="220" ht="15.75" customHeight="1">
      <c r="A220" s="45" t="s">
        <v>150</v>
      </c>
      <c r="B220" s="46">
        <f t="shared" ref="B220:I220" si="305">+IFERROR(B218/B$201,"nm")</f>
        <v>-8.695121951</v>
      </c>
      <c r="C220" s="46">
        <f t="shared" si="305"/>
        <v>-10.89534884</v>
      </c>
      <c r="D220" s="46">
        <f t="shared" si="305"/>
        <v>16.50666667</v>
      </c>
      <c r="E220" s="46">
        <f t="shared" si="305"/>
        <v>55.76923077</v>
      </c>
      <c r="F220" s="46">
        <f t="shared" si="305"/>
        <v>-239</v>
      </c>
      <c r="G220" s="46">
        <f t="shared" si="305"/>
        <v>-174.1818182</v>
      </c>
      <c r="H220" s="46">
        <f t="shared" si="305"/>
        <v>46.75</v>
      </c>
      <c r="I220" s="46">
        <f t="shared" si="305"/>
        <v>-25.23611111</v>
      </c>
      <c r="J220" s="51">
        <f t="shared" ref="J220:N220" si="306">+I220</f>
        <v>-25.23611111</v>
      </c>
      <c r="K220" s="51">
        <f t="shared" si="306"/>
        <v>-25.23611111</v>
      </c>
      <c r="L220" s="51">
        <f t="shared" si="306"/>
        <v>-25.23611111</v>
      </c>
      <c r="M220" s="51">
        <f t="shared" si="306"/>
        <v>-25.23611111</v>
      </c>
      <c r="N220" s="51">
        <f t="shared" si="306"/>
        <v>-25.23611111</v>
      </c>
    </row>
    <row r="221" ht="15.75" customHeight="1"/>
    <row r="222" ht="15.75" customHeight="1"/>
    <row r="223" ht="15.75" customHeight="1"/>
    <row r="224" ht="15.75" customHeight="1">
      <c r="A224" s="30" t="s">
        <v>137</v>
      </c>
      <c r="B224" s="31">
        <v>-40.0</v>
      </c>
      <c r="C224" s="31">
        <v>-48.0</v>
      </c>
      <c r="D224" s="31">
        <v>-96.0</v>
      </c>
      <c r="E224" s="31">
        <v>-166.0</v>
      </c>
      <c r="F224" s="31">
        <v>44.0</v>
      </c>
      <c r="G224" s="32">
        <v>-38.0</v>
      </c>
      <c r="H224" s="31">
        <v>-96.0</v>
      </c>
      <c r="I224" s="9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8.71"/>
    <col customWidth="1" min="2" max="14" width="11.71"/>
    <col customWidth="1" min="15" max="27" width="8.57"/>
    <col customWidth="1" min="28" max="28" width="126.0"/>
    <col customWidth="1" min="29" max="30" width="8.57"/>
  </cols>
  <sheetData>
    <row r="1" ht="60.0" customHeight="1">
      <c r="A1" s="7" t="s">
        <v>158</v>
      </c>
      <c r="B1" s="8">
        <f t="shared" ref="B1:H1" si="1">+C1-1</f>
        <v>2015</v>
      </c>
      <c r="C1" s="8">
        <f t="shared" si="1"/>
        <v>2016</v>
      </c>
      <c r="D1" s="8">
        <f t="shared" si="1"/>
        <v>2017</v>
      </c>
      <c r="E1" s="8">
        <f t="shared" si="1"/>
        <v>2018</v>
      </c>
      <c r="F1" s="8">
        <f t="shared" si="1"/>
        <v>2019</v>
      </c>
      <c r="G1" s="8">
        <f t="shared" si="1"/>
        <v>2020</v>
      </c>
      <c r="H1" s="8">
        <f t="shared" si="1"/>
        <v>2021</v>
      </c>
      <c r="I1" s="8">
        <v>2022.0</v>
      </c>
      <c r="J1" s="43">
        <f t="shared" ref="J1:N1" si="2">+I1+1</f>
        <v>2023</v>
      </c>
      <c r="K1" s="43">
        <f t="shared" si="2"/>
        <v>2024</v>
      </c>
      <c r="L1" s="43">
        <f t="shared" si="2"/>
        <v>2025</v>
      </c>
      <c r="M1" s="43">
        <f t="shared" si="2"/>
        <v>2026</v>
      </c>
      <c r="N1" s="43">
        <f t="shared" si="2"/>
        <v>2027</v>
      </c>
    </row>
    <row r="2">
      <c r="A2" s="44" t="s">
        <v>159</v>
      </c>
      <c r="B2" s="44"/>
      <c r="C2" s="44"/>
      <c r="D2" s="44"/>
      <c r="E2" s="44"/>
      <c r="F2" s="44"/>
      <c r="G2" s="44"/>
      <c r="H2" s="44"/>
      <c r="I2" s="44"/>
      <c r="J2" s="43"/>
      <c r="K2" s="43"/>
      <c r="L2" s="43"/>
      <c r="M2" s="43"/>
      <c r="N2" s="43"/>
      <c r="O2" s="53" t="s">
        <v>160</v>
      </c>
      <c r="P2" s="54">
        <v>2016.0</v>
      </c>
      <c r="Q2" s="54">
        <v>2017.0</v>
      </c>
      <c r="R2" s="54">
        <v>2018.0</v>
      </c>
      <c r="S2" s="54">
        <v>2019.0</v>
      </c>
      <c r="T2" s="54">
        <v>2020.0</v>
      </c>
      <c r="U2" s="54">
        <v>2021.0</v>
      </c>
      <c r="V2" s="55">
        <v>2022.0</v>
      </c>
      <c r="W2" s="56">
        <v>2023.0</v>
      </c>
      <c r="X2" s="56">
        <v>2024.0</v>
      </c>
      <c r="Y2" s="56">
        <v>2024.0</v>
      </c>
      <c r="Z2" s="56">
        <v>2026.0</v>
      </c>
      <c r="AA2" s="56">
        <v>2027.0</v>
      </c>
    </row>
    <row r="3">
      <c r="A3" s="3" t="s">
        <v>154</v>
      </c>
      <c r="B3" s="12">
        <f>'Segmental forecast'!B3</f>
        <v>30601</v>
      </c>
      <c r="C3" s="12">
        <f>'Segmental forecast'!C3</f>
        <v>32376</v>
      </c>
      <c r="D3" s="12">
        <f>'Segmental forecast'!D3</f>
        <v>34350</v>
      </c>
      <c r="E3" s="12">
        <f>'Segmental forecast'!E3</f>
        <v>36397</v>
      </c>
      <c r="F3" s="12">
        <f>'Segmental forecast'!F3</f>
        <v>39117</v>
      </c>
      <c r="G3" s="12">
        <f>'Segmental forecast'!G3</f>
        <v>37403</v>
      </c>
      <c r="H3" s="12">
        <f>'Segmental forecast'!H3</f>
        <v>44538</v>
      </c>
      <c r="I3" s="12">
        <f>'Segmental forecast'!I3</f>
        <v>46710</v>
      </c>
      <c r="J3" s="12">
        <f t="shared" ref="J3:N3" si="3">I3*(1+I4)</f>
        <v>48987.92267</v>
      </c>
      <c r="K3" s="12">
        <f t="shared" si="3"/>
        <v>51376.93359</v>
      </c>
      <c r="L3" s="12">
        <f t="shared" si="3"/>
        <v>53882.45022</v>
      </c>
      <c r="M3" s="12">
        <f t="shared" si="3"/>
        <v>56510.15424</v>
      </c>
      <c r="N3" s="12">
        <f t="shared" si="3"/>
        <v>59266.00442</v>
      </c>
      <c r="O3" s="57">
        <f>(V3+P3+Q3+R3+S3+W3+X3+Y3+Z3+AA3)/10</f>
        <v>0.05459036633</v>
      </c>
      <c r="P3" s="46">
        <f t="shared" ref="P3:S3" si="4">+IFERROR(C3/B3-1,"n+m")</f>
        <v>0.05800464037</v>
      </c>
      <c r="Q3" s="46">
        <f t="shared" si="4"/>
        <v>0.0609710897</v>
      </c>
      <c r="R3" s="46">
        <f t="shared" si="4"/>
        <v>0.05959243086</v>
      </c>
      <c r="S3" s="46">
        <f t="shared" si="4"/>
        <v>0.07473143391</v>
      </c>
      <c r="T3" s="46"/>
      <c r="U3" s="46"/>
      <c r="V3" s="46">
        <f>+IFERROR(I3/H3-1,"n+m")</f>
        <v>0.04876734474</v>
      </c>
      <c r="W3" s="58">
        <f t="shared" ref="W3:AA3" si="5">J3/I3-1</f>
        <v>0.04876734474</v>
      </c>
      <c r="X3" s="58">
        <f t="shared" si="5"/>
        <v>0.04876734474</v>
      </c>
      <c r="Y3" s="58">
        <f t="shared" si="5"/>
        <v>0.04876734474</v>
      </c>
      <c r="Z3" s="58">
        <f t="shared" si="5"/>
        <v>0.04876734474</v>
      </c>
      <c r="AA3" s="58">
        <f t="shared" si="5"/>
        <v>0.04876734474</v>
      </c>
      <c r="AB3" s="59" t="s">
        <v>161</v>
      </c>
    </row>
    <row r="4">
      <c r="A4" s="45" t="s">
        <v>146</v>
      </c>
      <c r="B4" s="46">
        <f>+IFERROR(B3/Historicals!K2-1,"nm")</f>
        <v>0.1007949926</v>
      </c>
      <c r="C4" s="46">
        <f t="shared" ref="C4:N4" si="6">+IFERROR(C3/B3-1,"nm")</f>
        <v>0.05800464037</v>
      </c>
      <c r="D4" s="46">
        <f t="shared" si="6"/>
        <v>0.0609710897</v>
      </c>
      <c r="E4" s="46">
        <f t="shared" si="6"/>
        <v>0.05959243086</v>
      </c>
      <c r="F4" s="46">
        <f t="shared" si="6"/>
        <v>0.07473143391</v>
      </c>
      <c r="G4" s="46">
        <f t="shared" si="6"/>
        <v>-0.04381726615</v>
      </c>
      <c r="H4" s="46">
        <f t="shared" si="6"/>
        <v>0.1907600995</v>
      </c>
      <c r="I4" s="46">
        <f t="shared" si="6"/>
        <v>0.04876734474</v>
      </c>
      <c r="J4" s="46">
        <f t="shared" si="6"/>
        <v>0.04876734474</v>
      </c>
      <c r="K4" s="46">
        <f t="shared" si="6"/>
        <v>0.04876734474</v>
      </c>
      <c r="L4" s="46">
        <f t="shared" si="6"/>
        <v>0.04876734474</v>
      </c>
      <c r="M4" s="46">
        <f t="shared" si="6"/>
        <v>0.04876734474</v>
      </c>
      <c r="N4" s="46">
        <f t="shared" si="6"/>
        <v>0.04876734474</v>
      </c>
      <c r="AB4" s="60" t="s">
        <v>162</v>
      </c>
    </row>
    <row r="5">
      <c r="A5" s="3" t="s">
        <v>147</v>
      </c>
      <c r="B5" s="12">
        <f>'Segmental forecast'!B5</f>
        <v>4839</v>
      </c>
      <c r="C5" s="12">
        <f>'Segmental forecast'!C5</f>
        <v>5291</v>
      </c>
      <c r="D5" s="12">
        <f>'Segmental forecast'!D5</f>
        <v>5651</v>
      </c>
      <c r="E5" s="12">
        <f>'Segmental forecast'!E5</f>
        <v>5126</v>
      </c>
      <c r="F5" s="12">
        <f>'Segmental forecast'!F5</f>
        <v>5555</v>
      </c>
      <c r="G5" s="12">
        <f>'Segmental forecast'!G5</f>
        <v>3697</v>
      </c>
      <c r="H5" s="12">
        <f>'Segmental forecast'!H5</f>
        <v>7667</v>
      </c>
      <c r="I5" s="12">
        <f>'Segmental forecast'!I5</f>
        <v>7573</v>
      </c>
      <c r="J5" s="12">
        <f t="shared" ref="J5:N5" si="7">I5*(1+I4)</f>
        <v>7942.315102</v>
      </c>
      <c r="K5" s="12">
        <f t="shared" si="7"/>
        <v>8329.64072</v>
      </c>
      <c r="L5" s="12">
        <f t="shared" si="7"/>
        <v>8735.855181</v>
      </c>
      <c r="M5" s="12">
        <f t="shared" si="7"/>
        <v>9161.879642</v>
      </c>
      <c r="N5" s="12">
        <f t="shared" si="7"/>
        <v>9608.680185</v>
      </c>
      <c r="P5" s="61"/>
      <c r="AB5" s="60" t="s">
        <v>163</v>
      </c>
    </row>
    <row r="6">
      <c r="A6" s="50" t="s">
        <v>149</v>
      </c>
      <c r="B6" s="12">
        <f>'Segmental forecast'!B8</f>
        <v>606</v>
      </c>
      <c r="C6" s="12">
        <f>'Segmental forecast'!C8</f>
        <v>649</v>
      </c>
      <c r="D6" s="12">
        <f>'Segmental forecast'!D8</f>
        <v>706</v>
      </c>
      <c r="E6" s="12">
        <f>'Segmental forecast'!E8</f>
        <v>747</v>
      </c>
      <c r="F6" s="12">
        <f>'Segmental forecast'!F8</f>
        <v>705</v>
      </c>
      <c r="G6" s="12">
        <f>'Segmental forecast'!G8</f>
        <v>721</v>
      </c>
      <c r="H6" s="12">
        <f>'Segmental forecast'!H8</f>
        <v>744</v>
      </c>
      <c r="I6" s="12">
        <f>'Segmental forecast'!I8</f>
        <v>717</v>
      </c>
      <c r="J6" s="12">
        <f t="shared" ref="J6:N6" si="8">I6*(1+I4)</f>
        <v>751.9661862</v>
      </c>
      <c r="K6" s="12">
        <f t="shared" si="8"/>
        <v>788.6375804</v>
      </c>
      <c r="L6" s="12">
        <f t="shared" si="8"/>
        <v>827.0973412</v>
      </c>
      <c r="M6" s="12">
        <f t="shared" si="8"/>
        <v>867.4326823</v>
      </c>
      <c r="N6" s="12">
        <f t="shared" si="8"/>
        <v>909.735071</v>
      </c>
      <c r="AB6" s="60" t="s">
        <v>164</v>
      </c>
    </row>
    <row r="7">
      <c r="A7" s="15" t="s">
        <v>151</v>
      </c>
      <c r="B7" s="16">
        <f>'Segmental forecast'!B11</f>
        <v>4233</v>
      </c>
      <c r="C7" s="16">
        <f>'Segmental forecast'!C11</f>
        <v>4642</v>
      </c>
      <c r="D7" s="16">
        <f>'Segmental forecast'!D11</f>
        <v>4945</v>
      </c>
      <c r="E7" s="16">
        <f>'Segmental forecast'!E11</f>
        <v>4379</v>
      </c>
      <c r="F7" s="16">
        <f>'Segmental forecast'!F11</f>
        <v>4850</v>
      </c>
      <c r="G7" s="16">
        <f>'Segmental forecast'!G11</f>
        <v>2976</v>
      </c>
      <c r="H7" s="16">
        <f>'Segmental forecast'!H11</f>
        <v>6923</v>
      </c>
      <c r="I7" s="16">
        <f>'Segmental forecast'!I11</f>
        <v>6856</v>
      </c>
      <c r="J7" s="16">
        <f t="shared" ref="J7:N7" si="9">I7*(1+I4)</f>
        <v>7190.348916</v>
      </c>
      <c r="K7" s="16">
        <f t="shared" si="9"/>
        <v>7541.00314</v>
      </c>
      <c r="L7" s="16">
        <f t="shared" si="9"/>
        <v>7908.75784</v>
      </c>
      <c r="M7" s="16">
        <f t="shared" si="9"/>
        <v>8294.44696</v>
      </c>
      <c r="N7" s="16">
        <f t="shared" si="9"/>
        <v>8698.945114</v>
      </c>
      <c r="O7" s="57"/>
      <c r="P7" s="46"/>
      <c r="Q7" s="46"/>
      <c r="R7" s="46"/>
      <c r="S7" s="46"/>
      <c r="T7" s="46"/>
      <c r="U7" s="46"/>
      <c r="V7" s="46"/>
      <c r="AB7" s="60" t="s">
        <v>165</v>
      </c>
    </row>
    <row r="8">
      <c r="A8" s="45" t="s">
        <v>146</v>
      </c>
      <c r="B8" s="46">
        <f>+IFERROR(B7/Historicals!K10-1,"nm")</f>
        <v>0.1833939055</v>
      </c>
      <c r="C8" s="46">
        <f t="shared" ref="C8:N8" si="10">+IFERROR(C7/B7-1,"nm")</f>
        <v>0.09662178124</v>
      </c>
      <c r="D8" s="46">
        <f t="shared" si="10"/>
        <v>0.06527358897</v>
      </c>
      <c r="E8" s="46">
        <f t="shared" si="10"/>
        <v>-0.1144590495</v>
      </c>
      <c r="F8" s="46">
        <f t="shared" si="10"/>
        <v>0.1075588034</v>
      </c>
      <c r="G8" s="46">
        <f t="shared" si="10"/>
        <v>-0.3863917526</v>
      </c>
      <c r="H8" s="46">
        <f t="shared" si="10"/>
        <v>1.326276882</v>
      </c>
      <c r="I8" s="46">
        <f t="shared" si="10"/>
        <v>-0.00967788531</v>
      </c>
      <c r="J8" s="46">
        <f t="shared" si="10"/>
        <v>0.04876734474</v>
      </c>
      <c r="K8" s="46">
        <f t="shared" si="10"/>
        <v>0.04876734474</v>
      </c>
      <c r="L8" s="46">
        <f t="shared" si="10"/>
        <v>0.04876734474</v>
      </c>
      <c r="M8" s="46">
        <f t="shared" si="10"/>
        <v>0.04876734474</v>
      </c>
      <c r="N8" s="46">
        <f t="shared" si="10"/>
        <v>0.04876734474</v>
      </c>
      <c r="AB8" s="60" t="s">
        <v>166</v>
      </c>
    </row>
    <row r="9">
      <c r="A9" s="45" t="s">
        <v>148</v>
      </c>
      <c r="B9" s="46">
        <f t="shared" ref="B9:N9" si="11">+IFERROR(B7/B$3,"nm")</f>
        <v>0.1383288128</v>
      </c>
      <c r="C9" s="46">
        <f t="shared" si="11"/>
        <v>0.1433778107</v>
      </c>
      <c r="D9" s="46">
        <f t="shared" si="11"/>
        <v>0.1439592431</v>
      </c>
      <c r="E9" s="46">
        <f t="shared" si="11"/>
        <v>0.1203121136</v>
      </c>
      <c r="F9" s="46">
        <f t="shared" si="11"/>
        <v>0.1239870133</v>
      </c>
      <c r="G9" s="46">
        <f t="shared" si="11"/>
        <v>0.07956581023</v>
      </c>
      <c r="H9" s="46">
        <f t="shared" si="11"/>
        <v>0.1554402982</v>
      </c>
      <c r="I9" s="46">
        <f t="shared" si="11"/>
        <v>0.1467779919</v>
      </c>
      <c r="J9" s="46">
        <f t="shared" si="11"/>
        <v>0.1467779919</v>
      </c>
      <c r="K9" s="46">
        <f t="shared" si="11"/>
        <v>0.1467779919</v>
      </c>
      <c r="L9" s="46">
        <f t="shared" si="11"/>
        <v>0.1467779919</v>
      </c>
      <c r="M9" s="46">
        <f t="shared" si="11"/>
        <v>0.1467779919</v>
      </c>
      <c r="N9" s="46">
        <f t="shared" si="11"/>
        <v>0.1467779919</v>
      </c>
      <c r="AB9" s="62" t="s">
        <v>167</v>
      </c>
    </row>
    <row r="10">
      <c r="A10" s="4" t="s">
        <v>16</v>
      </c>
      <c r="B10" s="12">
        <f>+Historicals!B8</f>
        <v>28</v>
      </c>
      <c r="C10" s="12">
        <f>+Historicals!C8</f>
        <v>19</v>
      </c>
      <c r="D10" s="12">
        <f>+Historicals!D8</f>
        <v>59</v>
      </c>
      <c r="E10" s="12">
        <f>+Historicals!E8</f>
        <v>54</v>
      </c>
      <c r="F10" s="12">
        <f>+Historicals!F8</f>
        <v>49</v>
      </c>
      <c r="G10" s="12">
        <f>+Historicals!G8</f>
        <v>89</v>
      </c>
      <c r="H10" s="12">
        <f>+Historicals!H8</f>
        <v>262</v>
      </c>
      <c r="I10" s="12">
        <f>+Historicals!I8</f>
        <v>205</v>
      </c>
      <c r="J10" s="12">
        <f t="shared" ref="J10:N10" si="12">I10*(1+I4)</f>
        <v>214.9973057</v>
      </c>
      <c r="K10" s="12">
        <f t="shared" si="12"/>
        <v>225.4821534</v>
      </c>
      <c r="L10" s="12">
        <f t="shared" si="12"/>
        <v>236.4783193</v>
      </c>
      <c r="M10" s="12">
        <f t="shared" si="12"/>
        <v>248.010739</v>
      </c>
      <c r="N10" s="12">
        <f t="shared" si="12"/>
        <v>260.1055642</v>
      </c>
    </row>
    <row r="11">
      <c r="A11" s="15" t="s">
        <v>168</v>
      </c>
      <c r="B11" s="16">
        <f>+Historicals!B10</f>
        <v>4205</v>
      </c>
      <c r="C11" s="16">
        <f>+Historicals!C10</f>
        <v>4623</v>
      </c>
      <c r="D11" s="16">
        <f>+Historicals!D10</f>
        <v>4886</v>
      </c>
      <c r="E11" s="16">
        <f>+Historicals!E10</f>
        <v>4325</v>
      </c>
      <c r="F11" s="16">
        <f>+Historicals!F10</f>
        <v>4801</v>
      </c>
      <c r="G11" s="16">
        <f>+Historicals!G10</f>
        <v>2887</v>
      </c>
      <c r="H11" s="16">
        <f>+Historicals!H10</f>
        <v>6661</v>
      </c>
      <c r="I11" s="16">
        <f>+Historicals!I10</f>
        <v>6651</v>
      </c>
      <c r="J11" s="16">
        <f t="shared" ref="J11:N11" si="13">I11*(1+I4)</f>
        <v>6975.35161</v>
      </c>
      <c r="K11" s="16">
        <f t="shared" si="13"/>
        <v>7315.520986</v>
      </c>
      <c r="L11" s="16">
        <f t="shared" si="13"/>
        <v>7672.27952</v>
      </c>
      <c r="M11" s="16">
        <f t="shared" si="13"/>
        <v>8046.436221</v>
      </c>
      <c r="N11" s="16">
        <f t="shared" si="13"/>
        <v>8438.83955</v>
      </c>
      <c r="AB11" s="59" t="s">
        <v>169</v>
      </c>
    </row>
    <row r="12">
      <c r="A12" s="2" t="s">
        <v>19</v>
      </c>
      <c r="B12" s="12">
        <f>+Historicals!B11</f>
        <v>932</v>
      </c>
      <c r="C12" s="12">
        <f>+Historicals!C11</f>
        <v>863</v>
      </c>
      <c r="D12" s="12">
        <f>+Historicals!D11</f>
        <v>646</v>
      </c>
      <c r="E12" s="12">
        <f>+Historicals!E11</f>
        <v>2392</v>
      </c>
      <c r="F12" s="12">
        <f>+Historicals!F11</f>
        <v>772</v>
      </c>
      <c r="G12" s="12">
        <f>+Historicals!G11</f>
        <v>348</v>
      </c>
      <c r="H12" s="12">
        <f>+Historicals!H11</f>
        <v>934</v>
      </c>
      <c r="I12" s="12">
        <f>+Historicals!I11</f>
        <v>605</v>
      </c>
      <c r="J12" s="12">
        <f>I12*(1+O12)</f>
        <v>974.05</v>
      </c>
      <c r="K12" s="12">
        <f t="shared" ref="K12:N12" si="14">J12*(1+J4)</f>
        <v>1021.551832</v>
      </c>
      <c r="L12" s="12">
        <f t="shared" si="14"/>
        <v>1071.370203</v>
      </c>
      <c r="M12" s="12">
        <f t="shared" si="14"/>
        <v>1123.618083</v>
      </c>
      <c r="N12" s="12">
        <f t="shared" si="14"/>
        <v>1178.413953</v>
      </c>
      <c r="O12" s="57">
        <v>0.61</v>
      </c>
      <c r="AB12" s="62" t="s">
        <v>170</v>
      </c>
    </row>
    <row r="13">
      <c r="A13" s="45" t="s">
        <v>171</v>
      </c>
      <c r="B13" s="63">
        <f t="shared" ref="B13:N13" si="15">B12/B11</f>
        <v>0.2216409037</v>
      </c>
      <c r="C13" s="63">
        <f t="shared" si="15"/>
        <v>0.1866753191</v>
      </c>
      <c r="D13" s="63">
        <f t="shared" si="15"/>
        <v>0.1322144904</v>
      </c>
      <c r="E13" s="63">
        <f t="shared" si="15"/>
        <v>0.5530635838</v>
      </c>
      <c r="F13" s="63">
        <f t="shared" si="15"/>
        <v>0.1607998334</v>
      </c>
      <c r="G13" s="63">
        <f t="shared" si="15"/>
        <v>0.1205403533</v>
      </c>
      <c r="H13" s="63">
        <f t="shared" si="15"/>
        <v>0.1402191863</v>
      </c>
      <c r="I13" s="63">
        <f t="shared" si="15"/>
        <v>0.09096376485</v>
      </c>
      <c r="J13" s="63">
        <f t="shared" si="15"/>
        <v>0.1396417062</v>
      </c>
      <c r="K13" s="63">
        <f t="shared" si="15"/>
        <v>0.1396417062</v>
      </c>
      <c r="L13" s="63">
        <f t="shared" si="15"/>
        <v>0.1396417062</v>
      </c>
      <c r="M13" s="63">
        <f t="shared" si="15"/>
        <v>0.1396417062</v>
      </c>
      <c r="N13" s="63">
        <f t="shared" si="15"/>
        <v>0.1396417062</v>
      </c>
      <c r="R13" s="61"/>
    </row>
    <row r="14">
      <c r="A14" s="17" t="s">
        <v>172</v>
      </c>
      <c r="B14" s="64">
        <f t="shared" ref="B14:N14" si="16">B11-B12</f>
        <v>3273</v>
      </c>
      <c r="C14" s="64">
        <f t="shared" si="16"/>
        <v>3760</v>
      </c>
      <c r="D14" s="64">
        <f t="shared" si="16"/>
        <v>4240</v>
      </c>
      <c r="E14" s="64">
        <f t="shared" si="16"/>
        <v>1933</v>
      </c>
      <c r="F14" s="64">
        <f t="shared" si="16"/>
        <v>4029</v>
      </c>
      <c r="G14" s="64">
        <f t="shared" si="16"/>
        <v>2539</v>
      </c>
      <c r="H14" s="64">
        <f t="shared" si="16"/>
        <v>5727</v>
      </c>
      <c r="I14" s="64">
        <f t="shared" si="16"/>
        <v>6046</v>
      </c>
      <c r="J14" s="64">
        <f t="shared" si="16"/>
        <v>6001.30161</v>
      </c>
      <c r="K14" s="64">
        <f t="shared" si="16"/>
        <v>6293.969154</v>
      </c>
      <c r="L14" s="64">
        <f t="shared" si="16"/>
        <v>6600.909318</v>
      </c>
      <c r="M14" s="64">
        <f t="shared" si="16"/>
        <v>6922.818138</v>
      </c>
      <c r="N14" s="64">
        <f t="shared" si="16"/>
        <v>7260.425597</v>
      </c>
      <c r="AB14" s="65" t="s">
        <v>173</v>
      </c>
    </row>
    <row r="15">
      <c r="A15" s="2" t="s">
        <v>174</v>
      </c>
      <c r="B15" s="19">
        <f>+Historicals!B18</f>
        <v>1768.8</v>
      </c>
      <c r="C15" s="19">
        <f>+Historicals!C18</f>
        <v>1742.5</v>
      </c>
      <c r="D15" s="19">
        <f>+Historicals!D18</f>
        <v>1692</v>
      </c>
      <c r="E15" s="19">
        <f>+Historicals!E18</f>
        <v>1659.1</v>
      </c>
      <c r="F15" s="19">
        <f>+Historicals!F18</f>
        <v>1618.4</v>
      </c>
      <c r="G15" s="19">
        <f>+Historicals!G18</f>
        <v>1591.6</v>
      </c>
      <c r="H15" s="19">
        <f>+Historicals!H18</f>
        <v>1609.4</v>
      </c>
      <c r="I15" s="19">
        <f>+Historicals!I18</f>
        <v>1610.8</v>
      </c>
      <c r="J15" s="9">
        <f t="shared" ref="J15:N15" si="17">+SUM(E15:I15)/5</f>
        <v>1617.86</v>
      </c>
      <c r="K15" s="9">
        <f t="shared" si="17"/>
        <v>1609.612</v>
      </c>
      <c r="L15" s="9">
        <f t="shared" si="17"/>
        <v>1607.8544</v>
      </c>
      <c r="M15" s="9">
        <f t="shared" si="17"/>
        <v>1611.10528</v>
      </c>
      <c r="N15" s="9">
        <f t="shared" si="17"/>
        <v>1611.446336</v>
      </c>
      <c r="AB15" s="66" t="s">
        <v>175</v>
      </c>
    </row>
    <row r="16">
      <c r="A16" s="2" t="s">
        <v>176</v>
      </c>
      <c r="B16" s="67">
        <f>+Historicals!B14</f>
        <v>1.9</v>
      </c>
      <c r="C16" s="67">
        <f>+Historicals!C14</f>
        <v>2.21</v>
      </c>
      <c r="D16" s="67">
        <f>+Historicals!D14</f>
        <v>2.56</v>
      </c>
      <c r="E16" s="67">
        <f>+Historicals!E14</f>
        <v>1.19</v>
      </c>
      <c r="F16" s="67">
        <f>+Historicals!F14</f>
        <v>2.55</v>
      </c>
      <c r="G16" s="67">
        <f>+Historicals!G14</f>
        <v>1.63</v>
      </c>
      <c r="H16" s="67">
        <f>+Historicals!H14</f>
        <v>3.64</v>
      </c>
      <c r="I16" s="67">
        <f>+Historicals!I14</f>
        <v>3.83</v>
      </c>
      <c r="J16" s="67">
        <f>I16*(1+O16)</f>
        <v>4.029917582</v>
      </c>
      <c r="K16" s="67">
        <f>J16*(1+O16)</f>
        <v>4.240270423</v>
      </c>
      <c r="L16" s="67">
        <f>K16*(1+O16)</f>
        <v>4.46160322</v>
      </c>
      <c r="M16" s="67">
        <f>L16*(1+O16)</f>
        <v>4.694489102</v>
      </c>
      <c r="N16" s="67">
        <f>M16*(1+O16)</f>
        <v>4.939531116</v>
      </c>
      <c r="O16" s="57">
        <f>+IFERROR(I16/H16-1,"n+m")</f>
        <v>0.0521978022</v>
      </c>
      <c r="AB16" s="68" t="s">
        <v>177</v>
      </c>
    </row>
    <row r="17">
      <c r="A17" s="2" t="s">
        <v>30</v>
      </c>
      <c r="B17" s="25">
        <f>ABS(Historicals!B18/Historicals!B93)</f>
        <v>0.698026835</v>
      </c>
      <c r="C17" s="25">
        <f>ABS(Historicals!C18/Historicals!C93)</f>
        <v>1.704990215</v>
      </c>
      <c r="D17" s="25">
        <f>ABS(Historicals!D18/Historicals!D93)</f>
        <v>1.493380406</v>
      </c>
      <c r="E17" s="25">
        <f>ABS(Historicals!E18/Historicals!E93)</f>
        <v>1.334754626</v>
      </c>
      <c r="F17" s="25">
        <f>ABS(Historicals!F18/Historicals!F93)</f>
        <v>1.215015015</v>
      </c>
      <c r="G17" s="25">
        <f>ABS(Historicals!G18/Historicals!G93)</f>
        <v>1.096143251</v>
      </c>
      <c r="H17" s="25">
        <f>ABS(Historicals!H18/Historicals!H93)</f>
        <v>0.9825396825</v>
      </c>
      <c r="I17" s="25">
        <f>ABS(Historicals!I18/Historicals!I93)</f>
        <v>0.8768644529</v>
      </c>
      <c r="J17" s="25">
        <f t="shared" ref="J17:N17" si="18">I17+(J18)</f>
        <v>0.7668113113</v>
      </c>
      <c r="K17" s="25">
        <f t="shared" si="18"/>
        <v>0.6557581697</v>
      </c>
      <c r="L17" s="25">
        <f t="shared" si="18"/>
        <v>0.546705028</v>
      </c>
      <c r="M17" s="25">
        <f t="shared" si="18"/>
        <v>0.4396518864</v>
      </c>
      <c r="N17" s="25">
        <f t="shared" si="18"/>
        <v>0.3345987448</v>
      </c>
      <c r="O17" s="46"/>
      <c r="AB17" s="69" t="s">
        <v>178</v>
      </c>
    </row>
    <row r="18">
      <c r="A18" s="45" t="s">
        <v>146</v>
      </c>
      <c r="B18" s="46">
        <f>+IFERROR(B17/Historicals!N24-1,"nm")</f>
        <v>-0.3837310042</v>
      </c>
      <c r="C18" s="46">
        <f t="shared" ref="C18:I18" si="19">+IFERROR(C17/B17-1,"nm")</f>
        <v>1.442585485</v>
      </c>
      <c r="D18" s="46">
        <f t="shared" si="19"/>
        <v>-0.1241120373</v>
      </c>
      <c r="E18" s="46">
        <f t="shared" si="19"/>
        <v>-0.1062192724</v>
      </c>
      <c r="F18" s="46">
        <f t="shared" si="19"/>
        <v>-0.08970908103</v>
      </c>
      <c r="G18" s="46">
        <f t="shared" si="19"/>
        <v>-0.09783563401</v>
      </c>
      <c r="H18" s="46">
        <f t="shared" si="19"/>
        <v>-0.1036393447</v>
      </c>
      <c r="I18" s="46">
        <f t="shared" si="19"/>
        <v>-0.1075531416</v>
      </c>
      <c r="J18" s="46">
        <f>I18-(0.25%)</f>
        <v>-0.1100531416</v>
      </c>
      <c r="K18" s="46">
        <f>J18-(0.1%)</f>
        <v>-0.1110531416</v>
      </c>
      <c r="L18" s="46">
        <f t="shared" ref="L18:N18" si="20">K18+(0.2%)</f>
        <v>-0.1090531416</v>
      </c>
      <c r="M18" s="46">
        <f t="shared" si="20"/>
        <v>-0.1070531416</v>
      </c>
      <c r="N18" s="46">
        <f t="shared" si="20"/>
        <v>-0.1050531416</v>
      </c>
    </row>
    <row r="19">
      <c r="A19" s="45" t="s">
        <v>179</v>
      </c>
      <c r="B19" s="63">
        <f t="shared" ref="B19:N19" si="21">B17/B16</f>
        <v>0.3673825448</v>
      </c>
      <c r="C19" s="63">
        <f t="shared" si="21"/>
        <v>0.7714887852</v>
      </c>
      <c r="D19" s="63">
        <f t="shared" si="21"/>
        <v>0.5833517211</v>
      </c>
      <c r="E19" s="63">
        <f t="shared" si="21"/>
        <v>1.121642543</v>
      </c>
      <c r="F19" s="63">
        <f t="shared" si="21"/>
        <v>0.4764764765</v>
      </c>
      <c r="G19" s="63">
        <f t="shared" si="21"/>
        <v>0.6724805219</v>
      </c>
      <c r="H19" s="63">
        <f t="shared" si="21"/>
        <v>0.2699284842</v>
      </c>
      <c r="I19" s="63">
        <f t="shared" si="21"/>
        <v>0.2289463324</v>
      </c>
      <c r="J19" s="63">
        <f t="shared" si="21"/>
        <v>0.190279651</v>
      </c>
      <c r="K19" s="63">
        <f t="shared" si="21"/>
        <v>0.1546500822</v>
      </c>
      <c r="L19" s="63">
        <f t="shared" si="21"/>
        <v>0.1225355553</v>
      </c>
      <c r="M19" s="63">
        <f t="shared" si="21"/>
        <v>0.09365276536</v>
      </c>
      <c r="N19" s="63">
        <f t="shared" si="21"/>
        <v>0.06773896893</v>
      </c>
    </row>
    <row r="20">
      <c r="A20" s="70" t="s">
        <v>180</v>
      </c>
      <c r="B20" s="44"/>
      <c r="C20" s="44"/>
      <c r="D20" s="44"/>
      <c r="E20" s="44"/>
      <c r="F20" s="44"/>
      <c r="G20" s="44"/>
      <c r="H20" s="44"/>
      <c r="I20" s="44"/>
      <c r="J20" s="43"/>
      <c r="K20" s="43"/>
      <c r="L20" s="43"/>
      <c r="M20" s="43"/>
      <c r="N20" s="71"/>
      <c r="O20" s="72" t="s">
        <v>181</v>
      </c>
      <c r="P20" s="54">
        <v>2016.0</v>
      </c>
      <c r="Q20" s="54">
        <v>2017.0</v>
      </c>
      <c r="R20" s="54">
        <v>2018.0</v>
      </c>
      <c r="S20" s="54">
        <v>2019.0</v>
      </c>
      <c r="T20" s="54">
        <v>2020.0</v>
      </c>
      <c r="U20" s="54">
        <v>2021.0</v>
      </c>
      <c r="V20" s="55">
        <v>2022.0</v>
      </c>
      <c r="W20" s="73">
        <v>2023.0</v>
      </c>
      <c r="X20" s="73">
        <v>2024.0</v>
      </c>
      <c r="Y20" s="73">
        <v>2025.0</v>
      </c>
      <c r="Z20" s="73">
        <v>2026.0</v>
      </c>
      <c r="AA20" s="73">
        <v>2027.0</v>
      </c>
    </row>
    <row r="21" ht="15.75" customHeight="1">
      <c r="A21" s="2" t="s">
        <v>182</v>
      </c>
      <c r="B21" s="19">
        <f>+Historicals!B25</f>
        <v>3852</v>
      </c>
      <c r="C21" s="19">
        <f>+Historicals!C25</f>
        <v>3138</v>
      </c>
      <c r="D21" s="19">
        <f>+Historicals!D25</f>
        <v>3808</v>
      </c>
      <c r="E21" s="19">
        <f>+Historicals!E25</f>
        <v>4249</v>
      </c>
      <c r="F21" s="19">
        <f>+Historicals!F25</f>
        <v>4466</v>
      </c>
      <c r="G21" s="19">
        <f>+Historicals!G25</f>
        <v>8348</v>
      </c>
      <c r="H21" s="19">
        <f>+Historicals!H25</f>
        <v>9889</v>
      </c>
      <c r="I21" s="19">
        <f>+Historicals!I25</f>
        <v>8574</v>
      </c>
      <c r="J21" s="9">
        <f>I21*(1+O21)</f>
        <v>8650.011162</v>
      </c>
      <c r="K21" s="9">
        <f>J21*(1+O21)</f>
        <v>8726.696187</v>
      </c>
      <c r="L21" s="9">
        <f>K21*(1+O21)</f>
        <v>8804.061048</v>
      </c>
      <c r="M21" s="9">
        <f>L21*(1+O21)</f>
        <v>8882.111772</v>
      </c>
      <c r="N21" s="9">
        <f>M21*(1+O21)</f>
        <v>8960.854441</v>
      </c>
      <c r="O21" s="57">
        <f>(S21+V21+R21+P21+Q21+T21)/7</f>
        <v>0.008865309321</v>
      </c>
      <c r="P21" s="46">
        <f t="shared" ref="P21:S21" si="22">+IFERROR(C21/B21-1,"n+m")</f>
        <v>-0.1853582555</v>
      </c>
      <c r="Q21" s="46">
        <f t="shared" si="22"/>
        <v>0.2135117909</v>
      </c>
      <c r="R21" s="46">
        <f t="shared" si="22"/>
        <v>0.1158088235</v>
      </c>
      <c r="S21" s="46">
        <f t="shared" si="22"/>
        <v>0.0510708402</v>
      </c>
      <c r="T21" s="46"/>
      <c r="U21" s="46"/>
      <c r="V21" s="46">
        <f>+IFERROR(I21/H21-1,"n+m")</f>
        <v>-0.132976034</v>
      </c>
      <c r="W21" s="74">
        <f t="shared" ref="W21:AA21" si="23">+IFERROR(J21/I21-1,"n+m")</f>
        <v>0.008865309321</v>
      </c>
      <c r="X21" s="46">
        <f t="shared" si="23"/>
        <v>0.008865309321</v>
      </c>
      <c r="Y21" s="46">
        <f t="shared" si="23"/>
        <v>0.008865309321</v>
      </c>
      <c r="Z21" s="46">
        <f t="shared" si="23"/>
        <v>0.008865309321</v>
      </c>
      <c r="AA21" s="46">
        <f t="shared" si="23"/>
        <v>0.008865309321</v>
      </c>
      <c r="AB21" s="75" t="s">
        <v>183</v>
      </c>
      <c r="AC21" s="57"/>
    </row>
    <row r="22" ht="15.75" customHeight="1">
      <c r="A22" s="2" t="s">
        <v>184</v>
      </c>
      <c r="B22" s="19">
        <f>+Historicals!B26</f>
        <v>2072</v>
      </c>
      <c r="C22" s="19">
        <f>+Historicals!C26</f>
        <v>2319</v>
      </c>
      <c r="D22" s="19">
        <f>+Historicals!D26</f>
        <v>2371</v>
      </c>
      <c r="E22" s="19">
        <f>+Historicals!E26</f>
        <v>996</v>
      </c>
      <c r="F22" s="19">
        <f>+Historicals!F26</f>
        <v>197</v>
      </c>
      <c r="G22" s="19">
        <f>+Historicals!G26</f>
        <v>439</v>
      </c>
      <c r="H22" s="19">
        <f>+Historicals!H26</f>
        <v>3587</v>
      </c>
      <c r="I22" s="19">
        <f>+Historicals!I26</f>
        <v>4423</v>
      </c>
      <c r="J22" s="9">
        <f t="shared" ref="J22:N22" si="24">+SUM(G22:I22)/3</f>
        <v>2816.333333</v>
      </c>
      <c r="K22" s="9">
        <f t="shared" si="24"/>
        <v>3608.777778</v>
      </c>
      <c r="L22" s="9">
        <f t="shared" si="24"/>
        <v>3616.037037</v>
      </c>
      <c r="M22" s="9">
        <f t="shared" si="24"/>
        <v>3347.049383</v>
      </c>
      <c r="N22" s="9">
        <f t="shared" si="24"/>
        <v>3523.954733</v>
      </c>
      <c r="O22" s="57"/>
      <c r="P22" s="46"/>
      <c r="Q22" s="46"/>
      <c r="R22" s="46"/>
      <c r="S22" s="46"/>
      <c r="T22" s="46"/>
      <c r="U22" s="46"/>
      <c r="V22" s="46"/>
      <c r="AB22" s="68" t="s">
        <v>185</v>
      </c>
    </row>
    <row r="23" ht="15.75" customHeight="1">
      <c r="A23" s="2" t="s">
        <v>186</v>
      </c>
      <c r="B23" s="12">
        <f>Historicals!B28+Historicals!B27-Historicals!B41</f>
        <v>5564</v>
      </c>
      <c r="C23" s="12">
        <f>Historicals!C28+Historicals!C27-Historicals!C41</f>
        <v>5888</v>
      </c>
      <c r="D23" s="12">
        <f>Historicals!D28+Historicals!D27-Historicals!D41</f>
        <v>6684</v>
      </c>
      <c r="E23" s="12">
        <f>Historicals!E28+Historicals!E27-Historicals!E41</f>
        <v>6480</v>
      </c>
      <c r="F23" s="12">
        <f>Historicals!F28+Historicals!F27-Historicals!F41</f>
        <v>7282</v>
      </c>
      <c r="G23" s="12">
        <f>Historicals!G28+Historicals!G27-Historicals!G41</f>
        <v>7868</v>
      </c>
      <c r="H23" s="12">
        <f>Historicals!H28+Historicals!H27-Historicals!H41</f>
        <v>8481</v>
      </c>
      <c r="I23" s="12">
        <f>Historicals!I28+Historicals!I27-Historicals!I41</f>
        <v>9729</v>
      </c>
      <c r="J23" s="12">
        <f>I23*(1+O23)</f>
        <v>10552.076</v>
      </c>
      <c r="K23" s="12">
        <f>J23*(1+O23)</f>
        <v>11444.78445</v>
      </c>
      <c r="L23" s="12">
        <f>K23*(1+O23)</f>
        <v>12413.01627</v>
      </c>
      <c r="M23" s="12">
        <f>L23*(1+O23)</f>
        <v>13463.16077</v>
      </c>
      <c r="N23" s="12">
        <f>M23*(1+O23)</f>
        <v>14602.14777</v>
      </c>
      <c r="O23" s="57">
        <f>(S23+Q23+P23+R23+T23+U23+V23)/7</f>
        <v>0.0846002673</v>
      </c>
      <c r="P23" s="46">
        <f t="shared" ref="P23:V23" si="25">+IFERROR(C23/B23-1,"n+m")</f>
        <v>0.05823148814</v>
      </c>
      <c r="Q23" s="46">
        <f t="shared" si="25"/>
        <v>0.1351902174</v>
      </c>
      <c r="R23" s="46">
        <f t="shared" si="25"/>
        <v>-0.03052064632</v>
      </c>
      <c r="S23" s="46">
        <f t="shared" si="25"/>
        <v>0.1237654321</v>
      </c>
      <c r="T23" s="46">
        <f t="shared" si="25"/>
        <v>0.08047239769</v>
      </c>
      <c r="U23" s="46">
        <f t="shared" si="25"/>
        <v>0.07791052364</v>
      </c>
      <c r="V23" s="46">
        <f t="shared" si="25"/>
        <v>0.1471524584</v>
      </c>
      <c r="W23" s="58">
        <f t="shared" ref="W23:AA23" si="26">J23/I23-1</f>
        <v>0.0846002673</v>
      </c>
      <c r="X23" s="58">
        <f t="shared" si="26"/>
        <v>0.0846002673</v>
      </c>
      <c r="Y23" s="58">
        <f t="shared" si="26"/>
        <v>0.0846002673</v>
      </c>
      <c r="Z23" s="58">
        <f t="shared" si="26"/>
        <v>0.0846002673</v>
      </c>
      <c r="AA23" s="58">
        <f t="shared" si="26"/>
        <v>0.0846002673</v>
      </c>
      <c r="AB23" s="76" t="s">
        <v>187</v>
      </c>
    </row>
    <row r="24" ht="15.75" customHeight="1">
      <c r="A24" s="45" t="s">
        <v>188</v>
      </c>
      <c r="B24" s="77">
        <f t="shared" ref="B24:N24" si="27">B23/B3</f>
        <v>0.1818241234</v>
      </c>
      <c r="C24" s="77">
        <f t="shared" si="27"/>
        <v>0.1818631085</v>
      </c>
      <c r="D24" s="77">
        <f t="shared" si="27"/>
        <v>0.1945851528</v>
      </c>
      <c r="E24" s="77">
        <f t="shared" si="27"/>
        <v>0.1780366514</v>
      </c>
      <c r="F24" s="77">
        <f t="shared" si="27"/>
        <v>0.1861594703</v>
      </c>
      <c r="G24" s="77">
        <f t="shared" si="27"/>
        <v>0.210357458</v>
      </c>
      <c r="H24" s="77">
        <f t="shared" si="27"/>
        <v>0.1904216624</v>
      </c>
      <c r="I24" s="77">
        <f t="shared" si="27"/>
        <v>0.2082851638</v>
      </c>
      <c r="J24" s="77">
        <f t="shared" si="27"/>
        <v>0.2154015811</v>
      </c>
      <c r="K24" s="77">
        <f t="shared" si="27"/>
        <v>0.222761143</v>
      </c>
      <c r="L24" s="77">
        <f t="shared" si="27"/>
        <v>0.2303721569</v>
      </c>
      <c r="M24" s="77">
        <f t="shared" si="27"/>
        <v>0.238243214</v>
      </c>
      <c r="N24" s="77">
        <f t="shared" si="27"/>
        <v>0.2463831992</v>
      </c>
    </row>
    <row r="25" ht="15.75" customHeight="1">
      <c r="A25" s="2" t="s">
        <v>189</v>
      </c>
      <c r="B25" s="9">
        <f>Historicals!B29</f>
        <v>1968</v>
      </c>
      <c r="C25" s="9">
        <f>Historicals!C29</f>
        <v>1489</v>
      </c>
      <c r="D25" s="9">
        <f>Historicals!D29</f>
        <v>1150</v>
      </c>
      <c r="E25" s="9">
        <f>Historicals!E29</f>
        <v>1130</v>
      </c>
      <c r="F25" s="9">
        <f>Historicals!F29</f>
        <v>1968</v>
      </c>
      <c r="G25" s="9">
        <f>Historicals!G29</f>
        <v>1653</v>
      </c>
      <c r="H25" s="9">
        <f>Historicals!H29</f>
        <v>1498</v>
      </c>
      <c r="I25" s="9">
        <f>Historicals!I29</f>
        <v>2129</v>
      </c>
      <c r="J25" s="9">
        <f t="shared" ref="J25:J26" si="30">I25*(1+O25)</f>
        <v>2247.797081</v>
      </c>
      <c r="K25" s="9">
        <f t="shared" ref="K25:K26" si="31">J25*(1+O25)</f>
        <v>2373.222978</v>
      </c>
      <c r="L25" s="9">
        <f t="shared" ref="L25:L26" si="32">K25*(1+O25)</f>
        <v>2505.647573</v>
      </c>
      <c r="M25" s="9">
        <f t="shared" ref="M25:M26" si="33">L25*(1+O25)</f>
        <v>2645.461391</v>
      </c>
      <c r="N25" s="9">
        <f t="shared" ref="N25:N26" si="34">M25*(1+O25)</f>
        <v>2793.076747</v>
      </c>
      <c r="O25" s="57">
        <f>(S25+Q25+P25+R25+T25+U25+V25)/3</f>
        <v>0.05579947459</v>
      </c>
      <c r="P25" s="46"/>
      <c r="Q25" s="46"/>
      <c r="R25" s="46"/>
      <c r="T25" s="46">
        <f t="shared" ref="T25:V25" si="28">+IFERROR(G25/F25-1,"n+m")</f>
        <v>-0.1600609756</v>
      </c>
      <c r="U25" s="46">
        <f t="shared" si="28"/>
        <v>-0.09376890502</v>
      </c>
      <c r="V25" s="46">
        <f t="shared" si="28"/>
        <v>0.4212283044</v>
      </c>
      <c r="W25" s="58">
        <f t="shared" ref="W25:AA25" si="29">J25/I25-1</f>
        <v>0.05579947459</v>
      </c>
      <c r="X25" s="58">
        <f t="shared" si="29"/>
        <v>0.05579947459</v>
      </c>
      <c r="Y25" s="58">
        <f t="shared" si="29"/>
        <v>0.05579947459</v>
      </c>
      <c r="Z25" s="58">
        <f t="shared" si="29"/>
        <v>0.05579947459</v>
      </c>
      <c r="AA25" s="58">
        <f t="shared" si="29"/>
        <v>0.05579947459</v>
      </c>
    </row>
    <row r="26" ht="15.75" customHeight="1">
      <c r="A26" s="2" t="s">
        <v>190</v>
      </c>
      <c r="B26" s="19">
        <f>+Historicals!B31</f>
        <v>3011</v>
      </c>
      <c r="C26" s="19">
        <f>+Historicals!C31</f>
        <v>3520</v>
      </c>
      <c r="D26" s="19">
        <f>+Historicals!D31</f>
        <v>3989</v>
      </c>
      <c r="E26" s="19">
        <f>+Historicals!E31</f>
        <v>4454</v>
      </c>
      <c r="F26" s="19">
        <f>+Historicals!F31</f>
        <v>4744</v>
      </c>
      <c r="G26" s="19">
        <f>+Historicals!G31</f>
        <v>4866</v>
      </c>
      <c r="H26" s="19">
        <f>+Historicals!H31</f>
        <v>4904</v>
      </c>
      <c r="I26" s="19">
        <f>+Historicals!I31</f>
        <v>4791</v>
      </c>
      <c r="J26" s="9">
        <f t="shared" si="30"/>
        <v>5129.415445</v>
      </c>
      <c r="K26" s="9">
        <f t="shared" si="31"/>
        <v>5491.735088</v>
      </c>
      <c r="L26" s="9">
        <f t="shared" si="32"/>
        <v>5879.647417</v>
      </c>
      <c r="M26" s="9">
        <f t="shared" si="33"/>
        <v>6294.96019</v>
      </c>
      <c r="N26" s="9">
        <f t="shared" si="34"/>
        <v>6739.608855</v>
      </c>
      <c r="O26" s="57">
        <f>(S26+V26+R26+P26+Q26+T26+U26)/7</f>
        <v>0.07063565951</v>
      </c>
      <c r="P26" s="46">
        <f t="shared" ref="P26:V26" si="35">+IFERROR(C26/B26-1,"n+m")</f>
        <v>0.1690468283</v>
      </c>
      <c r="Q26" s="46">
        <f t="shared" si="35"/>
        <v>0.1332386364</v>
      </c>
      <c r="R26" s="46">
        <f t="shared" si="35"/>
        <v>0.1165705691</v>
      </c>
      <c r="S26" s="46">
        <f t="shared" si="35"/>
        <v>0.06511001347</v>
      </c>
      <c r="T26" s="46">
        <f t="shared" si="35"/>
        <v>0.02571669477</v>
      </c>
      <c r="U26" s="46">
        <f t="shared" si="35"/>
        <v>0.007809288944</v>
      </c>
      <c r="V26" s="46">
        <f t="shared" si="35"/>
        <v>-0.02304241436</v>
      </c>
      <c r="W26" s="58">
        <f t="shared" ref="W26:AA26" si="36">J26/I26-1</f>
        <v>0.07063565951</v>
      </c>
      <c r="X26" s="58">
        <f t="shared" si="36"/>
        <v>0.07063565951</v>
      </c>
      <c r="Y26" s="58">
        <f t="shared" si="36"/>
        <v>0.07063565951</v>
      </c>
      <c r="Z26" s="58">
        <f t="shared" si="36"/>
        <v>0.07063565951</v>
      </c>
      <c r="AA26" s="58">
        <f t="shared" si="36"/>
        <v>0.07063565951</v>
      </c>
      <c r="AB26" s="78" t="s">
        <v>191</v>
      </c>
    </row>
    <row r="27" ht="15.75" customHeight="1">
      <c r="A27" s="2" t="s">
        <v>192</v>
      </c>
      <c r="B27" s="19">
        <f>+Historicals!B33</f>
        <v>281</v>
      </c>
      <c r="C27" s="19">
        <f>+Historicals!C33</f>
        <v>281</v>
      </c>
      <c r="D27" s="19">
        <f>+Historicals!D33</f>
        <v>283</v>
      </c>
      <c r="E27" s="19">
        <f>+Historicals!E33</f>
        <v>285</v>
      </c>
      <c r="F27" s="19">
        <f>+Historicals!F33</f>
        <v>283</v>
      </c>
      <c r="G27" s="19">
        <f>+Historicals!G33</f>
        <v>274</v>
      </c>
      <c r="H27" s="19">
        <f>+Historicals!H33</f>
        <v>269</v>
      </c>
      <c r="I27" s="19">
        <f>+Historicals!I33</f>
        <v>286</v>
      </c>
      <c r="J27" s="9">
        <f t="shared" ref="J27:N27" si="37">+SUM(B27:I27)/8</f>
        <v>280.25</v>
      </c>
      <c r="K27" s="9">
        <f t="shared" si="37"/>
        <v>280.15625</v>
      </c>
      <c r="L27" s="9">
        <f t="shared" si="37"/>
        <v>280.0507813</v>
      </c>
      <c r="M27" s="9">
        <f t="shared" si="37"/>
        <v>279.6821289</v>
      </c>
      <c r="N27" s="9">
        <f t="shared" si="37"/>
        <v>279.017395</v>
      </c>
      <c r="AB27" s="68" t="s">
        <v>193</v>
      </c>
    </row>
    <row r="28" ht="15.75" customHeight="1">
      <c r="A28" s="2" t="s">
        <v>40</v>
      </c>
      <c r="B28" s="19">
        <f>+Historicals!B34</f>
        <v>131</v>
      </c>
      <c r="C28" s="19">
        <f>+Historicals!C34</f>
        <v>131</v>
      </c>
      <c r="D28" s="19">
        <f>+Historicals!D34</f>
        <v>139</v>
      </c>
      <c r="E28" s="19">
        <f>+Historicals!E34</f>
        <v>154</v>
      </c>
      <c r="F28" s="19">
        <f>+Historicals!F34</f>
        <v>154</v>
      </c>
      <c r="G28" s="19">
        <f>+Historicals!G34</f>
        <v>223</v>
      </c>
      <c r="H28" s="19">
        <f>+Historicals!H34</f>
        <v>242</v>
      </c>
      <c r="I28" s="19">
        <f>+Historicals!I34</f>
        <v>284</v>
      </c>
      <c r="J28" s="9">
        <f>I28*(1+O28)</f>
        <v>301.353937</v>
      </c>
      <c r="K28" s="9">
        <f>J28*(1+O28)</f>
        <v>319.7682935</v>
      </c>
      <c r="L28" s="9">
        <f>K28*(1+O28)</f>
        <v>339.3078668</v>
      </c>
      <c r="M28" s="9">
        <f>L28*(1+O28)</f>
        <v>360.0414138</v>
      </c>
      <c r="N28" s="9">
        <f>M28*(1+O28)</f>
        <v>382.0418927</v>
      </c>
      <c r="O28" s="57">
        <f>(S28+Q28+P28+R28+T28+U28+V28)/7</f>
        <v>0.06110541201</v>
      </c>
      <c r="P28" s="46">
        <f t="shared" ref="P28:S28" si="38">+IFERROR(C28/B28-1,"n+m")</f>
        <v>0</v>
      </c>
      <c r="Q28" s="46">
        <f t="shared" si="38"/>
        <v>0.06106870229</v>
      </c>
      <c r="R28" s="46">
        <f t="shared" si="38"/>
        <v>0.1079136691</v>
      </c>
      <c r="S28" s="46">
        <f t="shared" si="38"/>
        <v>0</v>
      </c>
      <c r="T28" s="46"/>
      <c r="U28" s="46">
        <f t="shared" ref="U28:V28" si="39">+IFERROR(H28/G28-1,"n+m")</f>
        <v>0.08520179372</v>
      </c>
      <c r="V28" s="46">
        <f t="shared" si="39"/>
        <v>0.173553719</v>
      </c>
      <c r="W28" s="58">
        <f t="shared" ref="W28:AA28" si="40">J28/I28-1</f>
        <v>0.06110541201</v>
      </c>
      <c r="X28" s="58">
        <f t="shared" si="40"/>
        <v>0.06110541201</v>
      </c>
      <c r="Y28" s="58">
        <f t="shared" si="40"/>
        <v>0.06110541201</v>
      </c>
      <c r="Z28" s="58">
        <f t="shared" si="40"/>
        <v>0.06110541201</v>
      </c>
      <c r="AA28" s="58">
        <f t="shared" si="40"/>
        <v>0.06110541201</v>
      </c>
      <c r="AB28" s="79"/>
    </row>
    <row r="29" ht="15.75" customHeight="1">
      <c r="A29" s="4" t="s">
        <v>38</v>
      </c>
      <c r="B29" s="19"/>
      <c r="C29" s="19"/>
      <c r="D29" s="19"/>
      <c r="E29" s="19"/>
      <c r="F29" s="19"/>
      <c r="G29" s="19">
        <f>+Historicals!G32</f>
        <v>3097</v>
      </c>
      <c r="H29" s="19">
        <f>+Historicals!H32</f>
        <v>3113</v>
      </c>
      <c r="I29" s="19">
        <f>+Historicals!I32</f>
        <v>2926</v>
      </c>
      <c r="J29" s="9">
        <f t="shared" ref="J29:N29" si="41">+SUM(G29:I29)/3</f>
        <v>3045.333333</v>
      </c>
      <c r="K29" s="9">
        <f t="shared" si="41"/>
        <v>3028.111111</v>
      </c>
      <c r="L29" s="9">
        <f t="shared" si="41"/>
        <v>2999.814815</v>
      </c>
      <c r="M29" s="9">
        <f t="shared" si="41"/>
        <v>3024.419753</v>
      </c>
      <c r="N29" s="9">
        <f t="shared" si="41"/>
        <v>3017.44856</v>
      </c>
      <c r="AB29" s="68" t="s">
        <v>194</v>
      </c>
    </row>
    <row r="30" ht="15.75" customHeight="1">
      <c r="A30" s="2" t="s">
        <v>195</v>
      </c>
      <c r="B30" s="19">
        <f>+Historicals!B35</f>
        <v>2587</v>
      </c>
      <c r="C30" s="19">
        <f>+Historicals!C35</f>
        <v>2439</v>
      </c>
      <c r="D30" s="19">
        <f>+Historicals!D35</f>
        <v>2787</v>
      </c>
      <c r="E30" s="19">
        <f>+Historicals!E35</f>
        <v>2509</v>
      </c>
      <c r="F30" s="19">
        <f>+Historicals!F35</f>
        <v>2011</v>
      </c>
      <c r="G30" s="19">
        <f>+Historicals!G35</f>
        <v>2326</v>
      </c>
      <c r="H30" s="19">
        <f>+Historicals!H35</f>
        <v>2921</v>
      </c>
      <c r="I30" s="19">
        <f>+Historicals!I35</f>
        <v>3821</v>
      </c>
      <c r="J30" s="9">
        <f>I30*(1+O30)</f>
        <v>4063.535167</v>
      </c>
      <c r="K30" s="9">
        <f>J30*(1+O30)</f>
        <v>4321.465076</v>
      </c>
      <c r="L30" s="9">
        <f>K30*(1+O30)</f>
        <v>4595.766896</v>
      </c>
      <c r="M30" s="9">
        <f>L30*(1+O30)</f>
        <v>4887.479823</v>
      </c>
      <c r="N30" s="9">
        <f>M30*(1+O30)</f>
        <v>5197.709013</v>
      </c>
      <c r="O30" s="57">
        <f>(S30+Q30+P30+R30+T30+U30+V30)/8</f>
        <v>0.06347426517</v>
      </c>
      <c r="P30" s="46">
        <f t="shared" ref="P30:V30" si="42">+IFERROR(C30/B30-1,"n+m")</f>
        <v>-0.05720912254</v>
      </c>
      <c r="Q30" s="46">
        <f t="shared" si="42"/>
        <v>0.1426814268</v>
      </c>
      <c r="R30" s="46">
        <f t="shared" si="42"/>
        <v>-0.09974883387</v>
      </c>
      <c r="S30" s="46">
        <f t="shared" si="42"/>
        <v>-0.1984854524</v>
      </c>
      <c r="T30" s="46">
        <f t="shared" si="42"/>
        <v>0.1566384883</v>
      </c>
      <c r="U30" s="46">
        <f t="shared" si="42"/>
        <v>0.2558039553</v>
      </c>
      <c r="V30" s="46">
        <f t="shared" si="42"/>
        <v>0.3081136597</v>
      </c>
      <c r="W30" s="58">
        <f t="shared" ref="W30:AA30" si="43">J30/I30-1</f>
        <v>0.06347426517</v>
      </c>
      <c r="X30" s="58">
        <f t="shared" si="43"/>
        <v>0.06347426517</v>
      </c>
      <c r="Y30" s="58">
        <f t="shared" si="43"/>
        <v>0.06347426517</v>
      </c>
      <c r="Z30" s="58">
        <f t="shared" si="43"/>
        <v>0.06347426517</v>
      </c>
      <c r="AA30" s="58">
        <f t="shared" si="43"/>
        <v>0.06347426517</v>
      </c>
      <c r="AB30" s="79"/>
    </row>
    <row r="31" ht="15.75" customHeight="1">
      <c r="A31" s="17" t="s">
        <v>196</v>
      </c>
      <c r="B31" s="80">
        <f>B21+B25+B26+B27+B28+B29+B30+B22+B23</f>
        <v>19466</v>
      </c>
      <c r="C31" s="80">
        <f t="shared" ref="C31:N31" si="44">C21+C25+C26+C27+C28+C29+C30+C23+C22</f>
        <v>19205</v>
      </c>
      <c r="D31" s="80">
        <f t="shared" si="44"/>
        <v>21211</v>
      </c>
      <c r="E31" s="80">
        <f t="shared" si="44"/>
        <v>20257</v>
      </c>
      <c r="F31" s="80">
        <f t="shared" si="44"/>
        <v>21105</v>
      </c>
      <c r="G31" s="80">
        <f t="shared" si="44"/>
        <v>29094</v>
      </c>
      <c r="H31" s="80">
        <f t="shared" si="44"/>
        <v>34904</v>
      </c>
      <c r="I31" s="80">
        <f t="shared" si="44"/>
        <v>36963</v>
      </c>
      <c r="J31" s="80">
        <f t="shared" si="44"/>
        <v>37086.10546</v>
      </c>
      <c r="K31" s="80">
        <f t="shared" si="44"/>
        <v>39594.71721</v>
      </c>
      <c r="L31" s="80">
        <f t="shared" si="44"/>
        <v>41433.34971</v>
      </c>
      <c r="M31" s="80">
        <f t="shared" si="44"/>
        <v>43184.36662</v>
      </c>
      <c r="N31" s="80">
        <f t="shared" si="44"/>
        <v>45495.8594</v>
      </c>
      <c r="O31" s="57"/>
      <c r="P31" s="46"/>
      <c r="Q31" s="46"/>
      <c r="R31" s="46"/>
      <c r="S31" s="46"/>
      <c r="T31" s="46"/>
      <c r="U31" s="46"/>
      <c r="V31" s="46"/>
      <c r="AB31" s="68" t="s">
        <v>197</v>
      </c>
    </row>
    <row r="32" ht="15.75" customHeight="1">
      <c r="A32" s="2" t="s">
        <v>198</v>
      </c>
      <c r="B32" s="19">
        <f t="shared" ref="B32:N32" si="45">B34+B33</f>
        <v>181</v>
      </c>
      <c r="C32" s="19">
        <f t="shared" si="45"/>
        <v>45</v>
      </c>
      <c r="D32" s="19">
        <f t="shared" si="45"/>
        <v>331</v>
      </c>
      <c r="E32" s="19">
        <f t="shared" si="45"/>
        <v>342</v>
      </c>
      <c r="F32" s="19">
        <f t="shared" si="45"/>
        <v>15</v>
      </c>
      <c r="G32" s="19">
        <f t="shared" si="45"/>
        <v>251</v>
      </c>
      <c r="H32" s="19">
        <f t="shared" si="45"/>
        <v>2</v>
      </c>
      <c r="I32" s="19">
        <f t="shared" si="45"/>
        <v>510</v>
      </c>
      <c r="J32" s="19">
        <f t="shared" si="45"/>
        <v>510</v>
      </c>
      <c r="K32" s="19">
        <f t="shared" si="45"/>
        <v>510</v>
      </c>
      <c r="L32" s="19">
        <f t="shared" si="45"/>
        <v>510</v>
      </c>
      <c r="M32" s="19">
        <f t="shared" si="45"/>
        <v>510</v>
      </c>
      <c r="N32" s="19">
        <f t="shared" si="45"/>
        <v>510</v>
      </c>
      <c r="AB32" s="79"/>
    </row>
    <row r="33" ht="15.75" customHeight="1">
      <c r="A33" s="4" t="s">
        <v>45</v>
      </c>
      <c r="B33" s="19">
        <f>+Historicals!B39</f>
        <v>107</v>
      </c>
      <c r="C33" s="19">
        <f>+Historicals!C39</f>
        <v>44</v>
      </c>
      <c r="D33" s="19">
        <f>+Historicals!D39</f>
        <v>6</v>
      </c>
      <c r="E33" s="19">
        <f>+Historicals!E39</f>
        <v>6</v>
      </c>
      <c r="F33" s="19">
        <f>+Historicals!F39</f>
        <v>6</v>
      </c>
      <c r="G33" s="19">
        <f>+Historicals!G39</f>
        <v>3</v>
      </c>
      <c r="H33" s="19">
        <f>+Historicals!H39</f>
        <v>0</v>
      </c>
      <c r="I33" s="19">
        <f>+Historicals!I39</f>
        <v>500</v>
      </c>
      <c r="J33" s="9">
        <f t="shared" ref="J33:N33" si="46">I33</f>
        <v>500</v>
      </c>
      <c r="K33" s="9">
        <f t="shared" si="46"/>
        <v>500</v>
      </c>
      <c r="L33" s="9">
        <f t="shared" si="46"/>
        <v>500</v>
      </c>
      <c r="M33" s="9">
        <f t="shared" si="46"/>
        <v>500</v>
      </c>
      <c r="N33" s="9">
        <f t="shared" si="46"/>
        <v>500</v>
      </c>
      <c r="AB33" s="76" t="s">
        <v>199</v>
      </c>
    </row>
    <row r="34" ht="15.75" customHeight="1">
      <c r="A34" s="4" t="s">
        <v>46</v>
      </c>
      <c r="B34" s="19">
        <f>+Historicals!B40</f>
        <v>74</v>
      </c>
      <c r="C34" s="19">
        <f>+Historicals!C40</f>
        <v>1</v>
      </c>
      <c r="D34" s="19">
        <f>+Historicals!D40</f>
        <v>325</v>
      </c>
      <c r="E34" s="19">
        <f>+Historicals!E40</f>
        <v>336</v>
      </c>
      <c r="F34" s="19">
        <f>+Historicals!F40</f>
        <v>9</v>
      </c>
      <c r="G34" s="19">
        <f>+Historicals!G40</f>
        <v>248</v>
      </c>
      <c r="H34" s="19">
        <f>+Historicals!H40</f>
        <v>2</v>
      </c>
      <c r="I34" s="19">
        <f>+Historicals!I40</f>
        <v>10</v>
      </c>
      <c r="J34" s="9">
        <f t="shared" ref="J34:N34" si="47">I34</f>
        <v>10</v>
      </c>
      <c r="K34" s="9">
        <f t="shared" si="47"/>
        <v>10</v>
      </c>
      <c r="L34" s="9">
        <f t="shared" si="47"/>
        <v>10</v>
      </c>
      <c r="M34" s="9">
        <f t="shared" si="47"/>
        <v>10</v>
      </c>
      <c r="N34" s="9">
        <f t="shared" si="47"/>
        <v>10</v>
      </c>
    </row>
    <row r="35" ht="15.75" customHeight="1">
      <c r="A35" s="2" t="s">
        <v>200</v>
      </c>
      <c r="B35" s="81">
        <f>Historicals!B48+Historicals!B44+Historicals!B43+Historicals!B42</f>
        <v>5499</v>
      </c>
      <c r="C35" s="81">
        <f>Historicals!C48+Historicals!C44+Historicals!C43+Historicals!C42</f>
        <v>4892</v>
      </c>
      <c r="D35" s="81">
        <f>Historicals!D48+Historicals!D44+Historicals!D43+Historicals!D42</f>
        <v>5002</v>
      </c>
      <c r="E35" s="81">
        <f>Historicals!E48+Historicals!E44+Historicals!E43+Historicals!E42</f>
        <v>6635</v>
      </c>
      <c r="F35" s="81">
        <f>Historicals!F48+Historicals!F44+Historicals!F43+Historicals!F42</f>
        <v>8586</v>
      </c>
      <c r="G35" s="81">
        <f>Historicals!G48+Historicals!G44+Historicals!G43+Historicals!G42</f>
        <v>8469</v>
      </c>
      <c r="H35" s="81">
        <f>Historicals!H48+Historicals!H44+Historicals!H43+Historicals!H42</f>
        <v>9791</v>
      </c>
      <c r="I35" s="81">
        <f>Historicals!I48+Historicals!I44+Historicals!I43+Historicals!I42</f>
        <v>9475</v>
      </c>
      <c r="J35" s="9">
        <f>I35*(1-W35)</f>
        <v>9475</v>
      </c>
      <c r="K35" s="9">
        <f>J35*(1+O35)</f>
        <v>10345.09664</v>
      </c>
      <c r="L35" s="9">
        <f>K35*(1+O35)</f>
        <v>11295.09493</v>
      </c>
      <c r="M35" s="9">
        <f>L35*(1+O35)</f>
        <v>12332.33231</v>
      </c>
      <c r="N35" s="9">
        <f>M35*(1+O35)</f>
        <v>13464.82001</v>
      </c>
      <c r="O35" s="57">
        <f>(S35+Q35+P35+R35+T35+U35+V35)/7</f>
        <v>0.09183077996</v>
      </c>
      <c r="P35" s="46">
        <f t="shared" ref="P35:V35" si="48">+IFERROR(C35/B35-1,"n+m")</f>
        <v>-0.1103837061</v>
      </c>
      <c r="Q35" s="46">
        <f t="shared" si="48"/>
        <v>0.02248569092</v>
      </c>
      <c r="R35" s="46">
        <f t="shared" si="48"/>
        <v>0.3264694122</v>
      </c>
      <c r="S35" s="46">
        <f t="shared" si="48"/>
        <v>0.2940467219</v>
      </c>
      <c r="T35" s="46">
        <f t="shared" si="48"/>
        <v>-0.01362683438</v>
      </c>
      <c r="U35" s="46">
        <f t="shared" si="48"/>
        <v>0.156098713</v>
      </c>
      <c r="V35" s="46">
        <f t="shared" si="48"/>
        <v>-0.03227453784</v>
      </c>
      <c r="W35" s="61"/>
      <c r="X35" s="61">
        <f t="shared" ref="X35:AA35" si="49">K35/J35-1</f>
        <v>0.09183077996</v>
      </c>
      <c r="Y35" s="61">
        <f t="shared" si="49"/>
        <v>0.09183077996</v>
      </c>
      <c r="Z35" s="61">
        <f t="shared" si="49"/>
        <v>0.09183077996</v>
      </c>
      <c r="AA35" s="61">
        <f t="shared" si="49"/>
        <v>0.09183077996</v>
      </c>
    </row>
    <row r="36" ht="15.75" customHeight="1">
      <c r="A36" s="2" t="s">
        <v>52</v>
      </c>
      <c r="B36" s="19">
        <f>+Historicals!B46</f>
        <v>1079</v>
      </c>
      <c r="C36" s="19">
        <f>+Historicals!C46</f>
        <v>2010</v>
      </c>
      <c r="D36" s="19">
        <f>+Historicals!D46</f>
        <v>3471</v>
      </c>
      <c r="E36" s="19">
        <f>+Historicals!E46</f>
        <v>3468</v>
      </c>
      <c r="F36" s="19">
        <f>+Historicals!F46</f>
        <v>3464</v>
      </c>
      <c r="G36" s="19">
        <f>+Historicals!G46</f>
        <v>9406</v>
      </c>
      <c r="H36" s="19">
        <f>+Historicals!H46</f>
        <v>9413</v>
      </c>
      <c r="I36" s="19">
        <f>+Historicals!I46</f>
        <v>8920</v>
      </c>
      <c r="J36" s="9">
        <f t="shared" ref="J36:N36" si="50">I36</f>
        <v>8920</v>
      </c>
      <c r="K36" s="9">
        <f t="shared" si="50"/>
        <v>8920</v>
      </c>
      <c r="L36" s="9">
        <f t="shared" si="50"/>
        <v>8920</v>
      </c>
      <c r="M36" s="9">
        <f t="shared" si="50"/>
        <v>8920</v>
      </c>
      <c r="N36" s="9">
        <f t="shared" si="50"/>
        <v>8920</v>
      </c>
      <c r="W36" s="61"/>
      <c r="X36" s="61"/>
      <c r="Y36" s="61"/>
      <c r="Z36" s="61"/>
      <c r="AA36" s="61"/>
    </row>
    <row r="37" ht="15.75" customHeight="1">
      <c r="A37" s="4" t="s">
        <v>53</v>
      </c>
      <c r="B37" s="19"/>
      <c r="C37" s="19"/>
      <c r="D37" s="19"/>
      <c r="E37" s="19"/>
      <c r="F37" s="19"/>
      <c r="G37" s="19">
        <f>+Historicals!G47</f>
        <v>2913</v>
      </c>
      <c r="H37" s="19">
        <f>+Historicals!H47</f>
        <v>2931</v>
      </c>
      <c r="I37" s="19">
        <f>+Historicals!I47</f>
        <v>2777</v>
      </c>
      <c r="J37" s="9">
        <f t="shared" ref="J37:L37" si="51">I37</f>
        <v>2777</v>
      </c>
      <c r="K37" s="9">
        <f t="shared" si="51"/>
        <v>2777</v>
      </c>
      <c r="L37" s="9">
        <f t="shared" si="51"/>
        <v>2777</v>
      </c>
      <c r="M37" s="9">
        <f t="shared" ref="M37:N37" si="52">+SUM(J37:L37)/3</f>
        <v>2777</v>
      </c>
      <c r="N37" s="9">
        <f t="shared" si="52"/>
        <v>2777</v>
      </c>
    </row>
    <row r="38" ht="15.75" customHeight="1">
      <c r="A38" s="2" t="s">
        <v>201</v>
      </c>
      <c r="J38" s="9"/>
      <c r="K38" s="9"/>
      <c r="L38" s="9"/>
      <c r="M38" s="9"/>
      <c r="N38" s="9"/>
    </row>
    <row r="39" ht="15.75" customHeight="1">
      <c r="A39" s="2" t="s">
        <v>202</v>
      </c>
      <c r="B39" s="19">
        <f t="shared" ref="B39:N39" si="53">B40+B41+B42+B43</f>
        <v>12707</v>
      </c>
      <c r="C39" s="19">
        <f t="shared" si="53"/>
        <v>12258</v>
      </c>
      <c r="D39" s="19">
        <f t="shared" si="53"/>
        <v>12407</v>
      </c>
      <c r="E39" s="19">
        <f t="shared" si="53"/>
        <v>9812</v>
      </c>
      <c r="F39" s="19">
        <f t="shared" si="53"/>
        <v>9040</v>
      </c>
      <c r="G39" s="19">
        <f t="shared" si="53"/>
        <v>8055</v>
      </c>
      <c r="H39" s="19">
        <f t="shared" si="53"/>
        <v>12767</v>
      </c>
      <c r="I39" s="19">
        <f t="shared" si="53"/>
        <v>15281</v>
      </c>
      <c r="J39" s="19">
        <f t="shared" si="53"/>
        <v>15861.08408</v>
      </c>
      <c r="K39" s="19">
        <f t="shared" si="53"/>
        <v>16594.5783</v>
      </c>
      <c r="L39" s="19">
        <f t="shared" si="53"/>
        <v>17599.44144</v>
      </c>
      <c r="M39" s="19">
        <f t="shared" si="53"/>
        <v>18307.93466</v>
      </c>
      <c r="N39" s="19">
        <f t="shared" si="53"/>
        <v>19375.45335</v>
      </c>
    </row>
    <row r="40" ht="15.75" customHeight="1">
      <c r="A40" s="4" t="s">
        <v>203</v>
      </c>
      <c r="B40" s="19">
        <f>+Historicals!B54</f>
        <v>3</v>
      </c>
      <c r="C40" s="19">
        <f>+Historicals!C54</f>
        <v>3</v>
      </c>
      <c r="D40" s="19">
        <f>+Historicals!D54</f>
        <v>3</v>
      </c>
      <c r="E40" s="19">
        <f>+Historicals!E54</f>
        <v>3</v>
      </c>
      <c r="F40" s="19">
        <f>+Historicals!F54</f>
        <v>3</v>
      </c>
      <c r="G40" s="19">
        <f>+Historicals!G54</f>
        <v>3</v>
      </c>
      <c r="H40" s="19">
        <f>+Historicals!H54</f>
        <v>3</v>
      </c>
      <c r="I40" s="19">
        <f>+Historicals!I54</f>
        <v>3</v>
      </c>
      <c r="J40" s="9">
        <f t="shared" ref="J40:N40" si="54">I40</f>
        <v>3</v>
      </c>
      <c r="K40" s="9">
        <f t="shared" si="54"/>
        <v>3</v>
      </c>
      <c r="L40" s="9">
        <f t="shared" si="54"/>
        <v>3</v>
      </c>
      <c r="M40" s="9">
        <f t="shared" si="54"/>
        <v>3</v>
      </c>
      <c r="N40" s="9">
        <f t="shared" si="54"/>
        <v>3</v>
      </c>
    </row>
    <row r="41" ht="15.75" customHeight="1">
      <c r="A41" s="4" t="s">
        <v>61</v>
      </c>
      <c r="B41" s="19">
        <f>+Historicals!B55</f>
        <v>6773</v>
      </c>
      <c r="C41" s="19">
        <f>+Historicals!C55</f>
        <v>7786</v>
      </c>
      <c r="D41" s="19">
        <f>+Historicals!D55</f>
        <v>5710</v>
      </c>
      <c r="E41" s="19">
        <f>+Historicals!E55</f>
        <v>6384</v>
      </c>
      <c r="F41" s="19">
        <f>+Historicals!F55</f>
        <v>7163</v>
      </c>
      <c r="G41" s="19">
        <f>+Historicals!G55</f>
        <v>8299</v>
      </c>
      <c r="H41" s="19">
        <f>+Historicals!H55</f>
        <v>9965</v>
      </c>
      <c r="I41" s="19">
        <f>+Historicals!I55</f>
        <v>11484</v>
      </c>
      <c r="J41" s="9">
        <f>I41*(1+O41)</f>
        <v>12395.20908</v>
      </c>
      <c r="K41" s="9">
        <f>J41*(1+O41)</f>
        <v>13378.71892</v>
      </c>
      <c r="L41" s="9">
        <f>K41*(1+O41)</f>
        <v>14440.26631</v>
      </c>
      <c r="M41" s="9">
        <f>L41*(1+O41)</f>
        <v>15586.04319</v>
      </c>
      <c r="N41" s="9">
        <f>M41*(1+O41)</f>
        <v>16822.73285</v>
      </c>
      <c r="O41" s="57">
        <f>(S41+Q41+P41+R41+T41+U41+V41)/8</f>
        <v>0.0793459665</v>
      </c>
      <c r="P41" s="46">
        <f t="shared" ref="P41:V41" si="55">+IFERROR(C41/B41-1,"n+m")</f>
        <v>0.1495644471</v>
      </c>
      <c r="Q41" s="46">
        <f t="shared" si="55"/>
        <v>-0.2666324172</v>
      </c>
      <c r="R41" s="46">
        <f t="shared" si="55"/>
        <v>0.1180385289</v>
      </c>
      <c r="S41" s="46">
        <f t="shared" si="55"/>
        <v>0.1220238095</v>
      </c>
      <c r="T41" s="46">
        <f t="shared" si="55"/>
        <v>0.1585927684</v>
      </c>
      <c r="U41" s="46">
        <f t="shared" si="55"/>
        <v>0.200747078</v>
      </c>
      <c r="V41" s="46">
        <f t="shared" si="55"/>
        <v>0.1524335173</v>
      </c>
      <c r="W41" s="58">
        <f t="shared" ref="W41:AA41" si="56">J41/I41-1</f>
        <v>0.0793459665</v>
      </c>
      <c r="X41" s="58">
        <f t="shared" si="56"/>
        <v>0.0793459665</v>
      </c>
      <c r="Y41" s="58">
        <f t="shared" si="56"/>
        <v>0.0793459665</v>
      </c>
      <c r="Z41" s="58">
        <f t="shared" si="56"/>
        <v>0.0793459665</v>
      </c>
      <c r="AA41" s="58">
        <f t="shared" si="56"/>
        <v>0.0793459665</v>
      </c>
    </row>
    <row r="42" ht="15.75" customHeight="1">
      <c r="A42" s="4" t="s">
        <v>204</v>
      </c>
      <c r="B42" s="19">
        <f>+Historicals!B57</f>
        <v>4685</v>
      </c>
      <c r="C42" s="19">
        <f>+Historicals!C57</f>
        <v>4151</v>
      </c>
      <c r="D42" s="19">
        <f>+Historicals!D57</f>
        <v>6907</v>
      </c>
      <c r="E42" s="19">
        <f>+Historicals!E57</f>
        <v>3517</v>
      </c>
      <c r="F42" s="9">
        <f>+Historicals!F57</f>
        <v>1643</v>
      </c>
      <c r="G42" s="9">
        <f>+Historicals!G57</f>
        <v>-191</v>
      </c>
      <c r="H42" s="19">
        <f>+Historicals!H57</f>
        <v>3179</v>
      </c>
      <c r="I42" s="19">
        <f>+Historicals!I57</f>
        <v>3476</v>
      </c>
      <c r="J42" s="9">
        <f t="shared" ref="J42:N42" si="57">+SUM(B42:I42)/8</f>
        <v>3420.875</v>
      </c>
      <c r="K42" s="9">
        <f t="shared" si="57"/>
        <v>3262.859375</v>
      </c>
      <c r="L42" s="9">
        <f t="shared" si="57"/>
        <v>3151.841797</v>
      </c>
      <c r="M42" s="9">
        <f t="shared" si="57"/>
        <v>2682.447021</v>
      </c>
      <c r="N42" s="9">
        <f t="shared" si="57"/>
        <v>2578.127899</v>
      </c>
    </row>
    <row r="43" ht="15.75" customHeight="1">
      <c r="A43" s="4" t="s">
        <v>205</v>
      </c>
      <c r="B43" s="19">
        <f>+Historicals!B56</f>
        <v>1246</v>
      </c>
      <c r="C43" s="19">
        <f>+Historicals!C56</f>
        <v>318</v>
      </c>
      <c r="D43" s="9">
        <f>+Historicals!D56</f>
        <v>-213</v>
      </c>
      <c r="E43" s="9">
        <f>+Historicals!E56</f>
        <v>-92</v>
      </c>
      <c r="F43" s="19">
        <f>+Historicals!F56</f>
        <v>231</v>
      </c>
      <c r="G43" s="9">
        <f>+Historicals!G56</f>
        <v>-56</v>
      </c>
      <c r="H43" s="9">
        <f>+Historicals!H56</f>
        <v>-380</v>
      </c>
      <c r="I43" s="9">
        <f>+Historicals!I56</f>
        <v>318</v>
      </c>
      <c r="J43" s="9">
        <f t="shared" ref="J43:N43" si="58">+SUM(C43:I43)/3</f>
        <v>42</v>
      </c>
      <c r="K43" s="9">
        <f t="shared" si="58"/>
        <v>-50</v>
      </c>
      <c r="L43" s="9">
        <f t="shared" si="58"/>
        <v>4.333333333</v>
      </c>
      <c r="M43" s="9">
        <f t="shared" si="58"/>
        <v>36.44444444</v>
      </c>
      <c r="N43" s="9">
        <f t="shared" si="58"/>
        <v>-28.40740741</v>
      </c>
    </row>
    <row r="44" ht="15.75" customHeight="1">
      <c r="A44" s="17" t="s">
        <v>206</v>
      </c>
      <c r="B44" s="82">
        <f t="shared" ref="B44:F44" si="59">B39+B36+B35+B32</f>
        <v>19466</v>
      </c>
      <c r="C44" s="82">
        <f t="shared" si="59"/>
        <v>19205</v>
      </c>
      <c r="D44" s="82">
        <f t="shared" si="59"/>
        <v>21211</v>
      </c>
      <c r="E44" s="82">
        <f t="shared" si="59"/>
        <v>20257</v>
      </c>
      <c r="F44" s="82">
        <f t="shared" si="59"/>
        <v>21105</v>
      </c>
      <c r="G44" s="82">
        <f t="shared" ref="G44:N44" si="60">G39+G37+G36+G35+G32</f>
        <v>29094</v>
      </c>
      <c r="H44" s="82">
        <f t="shared" si="60"/>
        <v>34904</v>
      </c>
      <c r="I44" s="82">
        <f t="shared" si="60"/>
        <v>36963</v>
      </c>
      <c r="J44" s="82">
        <f t="shared" si="60"/>
        <v>37543.08408</v>
      </c>
      <c r="K44" s="82">
        <f t="shared" si="60"/>
        <v>39146.67494</v>
      </c>
      <c r="L44" s="82">
        <f t="shared" si="60"/>
        <v>41101.53637</v>
      </c>
      <c r="M44" s="82">
        <f t="shared" si="60"/>
        <v>42847.26697</v>
      </c>
      <c r="N44" s="82">
        <f t="shared" si="60"/>
        <v>45047.27335</v>
      </c>
      <c r="O44" s="57"/>
      <c r="P44" s="46"/>
      <c r="Q44" s="46"/>
      <c r="R44" s="46"/>
      <c r="S44" s="46"/>
      <c r="T44" s="46"/>
      <c r="U44" s="46"/>
      <c r="V44" s="46"/>
    </row>
    <row r="45" ht="15.75" customHeight="1">
      <c r="A45" s="83" t="s">
        <v>207</v>
      </c>
      <c r="B45" s="84">
        <f t="shared" ref="B45:N45" si="61">+B44-B31</f>
        <v>0</v>
      </c>
      <c r="C45" s="84">
        <f t="shared" si="61"/>
        <v>0</v>
      </c>
      <c r="D45" s="84">
        <f t="shared" si="61"/>
        <v>0</v>
      </c>
      <c r="E45" s="84">
        <f t="shared" si="61"/>
        <v>0</v>
      </c>
      <c r="F45" s="84">
        <f t="shared" si="61"/>
        <v>0</v>
      </c>
      <c r="G45" s="84">
        <f t="shared" si="61"/>
        <v>0</v>
      </c>
      <c r="H45" s="84">
        <f t="shared" si="61"/>
        <v>0</v>
      </c>
      <c r="I45" s="84">
        <f t="shared" si="61"/>
        <v>0</v>
      </c>
      <c r="J45" s="84">
        <f t="shared" si="61"/>
        <v>456.9786196</v>
      </c>
      <c r="K45" s="84">
        <f t="shared" si="61"/>
        <v>-448.0422721</v>
      </c>
      <c r="L45" s="84">
        <f t="shared" si="61"/>
        <v>-331.8133376</v>
      </c>
      <c r="M45" s="84">
        <f t="shared" si="61"/>
        <v>-337.0996533</v>
      </c>
      <c r="N45" s="84">
        <f t="shared" si="61"/>
        <v>-448.5860516</v>
      </c>
    </row>
    <row r="46" ht="15.75" customHeight="1">
      <c r="A46" s="70" t="s">
        <v>208</v>
      </c>
      <c r="B46" s="44"/>
      <c r="C46" s="44"/>
      <c r="D46" s="44"/>
      <c r="E46" s="44"/>
      <c r="F46" s="44"/>
      <c r="G46" s="44"/>
      <c r="H46" s="44"/>
      <c r="I46" s="44"/>
      <c r="J46" s="43"/>
      <c r="K46" s="43"/>
      <c r="L46" s="43"/>
      <c r="M46" s="43"/>
      <c r="N46" s="71"/>
      <c r="O46" s="72" t="s">
        <v>209</v>
      </c>
      <c r="P46" s="54">
        <v>2016.0</v>
      </c>
      <c r="Q46" s="54">
        <v>2017.0</v>
      </c>
      <c r="R46" s="54">
        <v>2018.0</v>
      </c>
      <c r="S46" s="54">
        <v>2019.0</v>
      </c>
      <c r="T46" s="54">
        <v>2020.0</v>
      </c>
      <c r="U46" s="54">
        <v>2021.0</v>
      </c>
      <c r="V46" s="55">
        <v>2022.0</v>
      </c>
      <c r="W46" s="56">
        <v>2023.0</v>
      </c>
      <c r="X46" s="56">
        <v>2024.0</v>
      </c>
      <c r="Y46" s="56">
        <v>2025.0</v>
      </c>
      <c r="Z46" s="56">
        <v>2026.0</v>
      </c>
      <c r="AA46" s="56">
        <v>2027.0</v>
      </c>
    </row>
    <row r="47" ht="15.75" customHeight="1">
      <c r="A47" s="3" t="s">
        <v>151</v>
      </c>
      <c r="B47" s="16">
        <f>'Segmental forecast'!B11</f>
        <v>4233</v>
      </c>
      <c r="C47" s="16">
        <f>'Segmental forecast'!C11</f>
        <v>4642</v>
      </c>
      <c r="D47" s="16">
        <f>'Segmental forecast'!D11</f>
        <v>4945</v>
      </c>
      <c r="E47" s="16">
        <f>'Segmental forecast'!E11</f>
        <v>4379</v>
      </c>
      <c r="F47" s="16">
        <f>'Segmental forecast'!F11</f>
        <v>4850</v>
      </c>
      <c r="G47" s="16">
        <f>'Segmental forecast'!G11</f>
        <v>2976</v>
      </c>
      <c r="H47" s="16">
        <f>'Segmental forecast'!H11</f>
        <v>6923</v>
      </c>
      <c r="I47" s="16">
        <f>'Segmental forecast'!I11</f>
        <v>6856</v>
      </c>
      <c r="J47" s="12">
        <f t="shared" ref="J47:N47" si="62">J7</f>
        <v>7190.348916</v>
      </c>
      <c r="K47" s="12">
        <f t="shared" si="62"/>
        <v>7541.00314</v>
      </c>
      <c r="L47" s="12">
        <f t="shared" si="62"/>
        <v>7908.75784</v>
      </c>
      <c r="M47" s="12">
        <f t="shared" si="62"/>
        <v>8294.44696</v>
      </c>
      <c r="N47" s="12">
        <f t="shared" si="62"/>
        <v>8698.945114</v>
      </c>
    </row>
    <row r="48" ht="15.75" customHeight="1">
      <c r="A48" s="2" t="s">
        <v>149</v>
      </c>
      <c r="B48" s="9">
        <f>'Segmental forecast'!B8</f>
        <v>606</v>
      </c>
      <c r="C48" s="9">
        <f>'Segmental forecast'!C8</f>
        <v>649</v>
      </c>
      <c r="D48" s="9">
        <f>'Segmental forecast'!D8</f>
        <v>706</v>
      </c>
      <c r="E48" s="9">
        <f>'Segmental forecast'!E8</f>
        <v>747</v>
      </c>
      <c r="F48" s="9">
        <f>'Segmental forecast'!F8</f>
        <v>705</v>
      </c>
      <c r="G48" s="9">
        <f>'Segmental forecast'!G8</f>
        <v>721</v>
      </c>
      <c r="H48" s="9">
        <f>'Segmental forecast'!H8</f>
        <v>744</v>
      </c>
      <c r="I48" s="9">
        <f>'Segmental forecast'!I8</f>
        <v>717</v>
      </c>
      <c r="J48" s="9">
        <f t="shared" ref="J48:N48" si="63">J6</f>
        <v>751.9661862</v>
      </c>
      <c r="K48" s="9">
        <f t="shared" si="63"/>
        <v>788.6375804</v>
      </c>
      <c r="L48" s="9">
        <f t="shared" si="63"/>
        <v>827.0973412</v>
      </c>
      <c r="M48" s="9">
        <f t="shared" si="63"/>
        <v>867.4326823</v>
      </c>
      <c r="N48" s="9">
        <f t="shared" si="63"/>
        <v>909.735071</v>
      </c>
    </row>
    <row r="49" ht="15.75" customHeight="1">
      <c r="A49" s="2" t="s">
        <v>210</v>
      </c>
      <c r="B49" s="19">
        <f>+Historicals!B104</f>
        <v>1262</v>
      </c>
      <c r="C49" s="19">
        <f>+Historicals!C104</f>
        <v>748</v>
      </c>
      <c r="D49" s="19">
        <f>+Historicals!D104</f>
        <v>703</v>
      </c>
      <c r="E49" s="19">
        <f>+Historicals!E104</f>
        <v>529</v>
      </c>
      <c r="F49" s="19">
        <f>+Historicals!F104</f>
        <v>757</v>
      </c>
      <c r="G49" s="19">
        <f>+Historicals!G104</f>
        <v>1028</v>
      </c>
      <c r="H49" s="19">
        <f>+Historicals!H104</f>
        <v>1177</v>
      </c>
      <c r="I49" s="19">
        <f>+Historicals!I104</f>
        <v>1231</v>
      </c>
      <c r="J49" s="9">
        <f>I49*(1+O49)</f>
        <v>1271.754385</v>
      </c>
      <c r="K49" s="9">
        <f>J49*(1+O49)</f>
        <v>1313.858014</v>
      </c>
      <c r="L49" s="9">
        <f>K49*(1+O49)</f>
        <v>1357.355557</v>
      </c>
      <c r="M49" s="9">
        <f>L49*(1+O49)</f>
        <v>1402.293161</v>
      </c>
      <c r="N49" s="9">
        <f>M49*(1+O49)</f>
        <v>1448.718502</v>
      </c>
      <c r="O49" s="57">
        <f>(S49+Q49+P49+R49+T49+U49+V49)/8</f>
        <v>0.03310673008</v>
      </c>
      <c r="P49" s="46">
        <f t="shared" ref="P49:V49" si="64">+IFERROR(C49/B49-1,"n+m")</f>
        <v>-0.4072900158</v>
      </c>
      <c r="Q49" s="46">
        <f t="shared" si="64"/>
        <v>-0.06016042781</v>
      </c>
      <c r="R49" s="46">
        <f t="shared" si="64"/>
        <v>-0.2475106686</v>
      </c>
      <c r="S49" s="46">
        <f t="shared" si="64"/>
        <v>0.4310018904</v>
      </c>
      <c r="T49" s="46">
        <f t="shared" si="64"/>
        <v>0.357992074</v>
      </c>
      <c r="U49" s="46">
        <f t="shared" si="64"/>
        <v>0.1449416342</v>
      </c>
      <c r="V49" s="46">
        <f t="shared" si="64"/>
        <v>0.04587935429</v>
      </c>
      <c r="W49" s="58">
        <f t="shared" ref="W49:AA49" si="65">J49/I49-1</f>
        <v>0.03310673008</v>
      </c>
      <c r="X49" s="58">
        <f t="shared" si="65"/>
        <v>0.03310673008</v>
      </c>
      <c r="Y49" s="58">
        <f t="shared" si="65"/>
        <v>0.03310673008</v>
      </c>
      <c r="Z49" s="58">
        <f t="shared" si="65"/>
        <v>0.03310673008</v>
      </c>
      <c r="AA49" s="58">
        <f t="shared" si="65"/>
        <v>0.03310673008</v>
      </c>
    </row>
    <row r="50" ht="15.75" customHeight="1">
      <c r="A50" s="3" t="s">
        <v>211</v>
      </c>
      <c r="B50" s="47">
        <f t="shared" ref="B50:N50" si="66">B47-B49</f>
        <v>2971</v>
      </c>
      <c r="C50" s="47">
        <f t="shared" si="66"/>
        <v>3894</v>
      </c>
      <c r="D50" s="47">
        <f t="shared" si="66"/>
        <v>4242</v>
      </c>
      <c r="E50" s="47">
        <f t="shared" si="66"/>
        <v>3850</v>
      </c>
      <c r="F50" s="47">
        <f t="shared" si="66"/>
        <v>4093</v>
      </c>
      <c r="G50" s="47">
        <f t="shared" si="66"/>
        <v>1948</v>
      </c>
      <c r="H50" s="47">
        <f t="shared" si="66"/>
        <v>5746</v>
      </c>
      <c r="I50" s="47">
        <f t="shared" si="66"/>
        <v>5625</v>
      </c>
      <c r="J50" s="47">
        <f t="shared" si="66"/>
        <v>5918.594531</v>
      </c>
      <c r="K50" s="47">
        <f t="shared" si="66"/>
        <v>6227.145126</v>
      </c>
      <c r="L50" s="47">
        <f t="shared" si="66"/>
        <v>6551.402283</v>
      </c>
      <c r="M50" s="47">
        <f t="shared" si="66"/>
        <v>6892.153799</v>
      </c>
      <c r="N50" s="47">
        <f t="shared" si="66"/>
        <v>7250.226612</v>
      </c>
    </row>
    <row r="51" ht="15.75" customHeight="1">
      <c r="A51" s="2" t="s">
        <v>212</v>
      </c>
      <c r="B51" s="19">
        <f>+Historicals!B103</f>
        <v>53</v>
      </c>
      <c r="C51" s="19">
        <f>+Historicals!C103</f>
        <v>70</v>
      </c>
      <c r="D51" s="19">
        <f>+Historicals!D103</f>
        <v>98</v>
      </c>
      <c r="E51" s="19">
        <f>+Historicals!E103</f>
        <v>125</v>
      </c>
      <c r="F51" s="19">
        <f>+Historicals!F103</f>
        <v>153</v>
      </c>
      <c r="G51" s="19">
        <f>+Historicals!G103</f>
        <v>140</v>
      </c>
      <c r="H51" s="19">
        <f>+Historicals!H103</f>
        <v>293</v>
      </c>
      <c r="I51" s="19">
        <f>+Historicals!I103</f>
        <v>290</v>
      </c>
      <c r="J51" s="9">
        <f>J21*(O51)</f>
        <v>188.1377428</v>
      </c>
      <c r="K51" s="9">
        <f>K21*(O51)</f>
        <v>189.8056421</v>
      </c>
      <c r="L51" s="9">
        <f>L21*(O51)</f>
        <v>191.4883278</v>
      </c>
      <c r="M51" s="9">
        <f>M21*(O51)</f>
        <v>193.185931</v>
      </c>
      <c r="N51" s="9">
        <f>N21*(O51)</f>
        <v>194.8985841</v>
      </c>
      <c r="O51" s="57">
        <f>(S51+Q51+P51+R51+T51+U51+V51+W51)/8</f>
        <v>0.02175</v>
      </c>
      <c r="P51" s="46">
        <v>0.014</v>
      </c>
      <c r="Q51" s="46">
        <v>0.022</v>
      </c>
      <c r="R51" s="46">
        <v>0.026</v>
      </c>
      <c r="S51" s="46">
        <v>0.03</v>
      </c>
      <c r="T51" s="46">
        <v>0.034</v>
      </c>
      <c r="U51" s="46">
        <v>0.018</v>
      </c>
      <c r="V51" s="46">
        <v>0.03</v>
      </c>
      <c r="W51" s="46"/>
      <c r="X51" s="46">
        <f t="shared" ref="X51:AA51" si="67">K51/J51-1</f>
        <v>0.008865309321</v>
      </c>
      <c r="Y51" s="46">
        <f t="shared" si="67"/>
        <v>0.008865309321</v>
      </c>
      <c r="Z51" s="46">
        <f t="shared" si="67"/>
        <v>0.008865309321</v>
      </c>
      <c r="AA51" s="46">
        <f t="shared" si="67"/>
        <v>0.008865309321</v>
      </c>
    </row>
    <row r="52" ht="15.75" customHeight="1">
      <c r="A52" s="2" t="s">
        <v>213</v>
      </c>
      <c r="B52" s="9">
        <f>Historicals!N23-B23</f>
        <v>-113</v>
      </c>
      <c r="C52" s="9">
        <f t="shared" ref="C52:N52" si="68">B23-C23</f>
        <v>-324</v>
      </c>
      <c r="D52" s="9">
        <f t="shared" si="68"/>
        <v>-796</v>
      </c>
      <c r="E52" s="9">
        <f t="shared" si="68"/>
        <v>204</v>
      </c>
      <c r="F52" s="9">
        <f t="shared" si="68"/>
        <v>-802</v>
      </c>
      <c r="G52" s="9">
        <f t="shared" si="68"/>
        <v>-586</v>
      </c>
      <c r="H52" s="9">
        <f t="shared" si="68"/>
        <v>-613</v>
      </c>
      <c r="I52" s="9">
        <f t="shared" si="68"/>
        <v>-1248</v>
      </c>
      <c r="J52" s="9">
        <f t="shared" si="68"/>
        <v>-823.0760005</v>
      </c>
      <c r="K52" s="9">
        <f t="shared" si="68"/>
        <v>-892.7084502</v>
      </c>
      <c r="L52" s="9">
        <f t="shared" si="68"/>
        <v>-968.2318237</v>
      </c>
      <c r="M52" s="9">
        <f t="shared" si="68"/>
        <v>-1050.144495</v>
      </c>
      <c r="N52" s="9">
        <f t="shared" si="68"/>
        <v>-1138.987</v>
      </c>
    </row>
    <row r="53" ht="15.75" customHeight="1">
      <c r="A53" s="2" t="s">
        <v>152</v>
      </c>
      <c r="B53" s="9">
        <f>-'Segmental forecast'!B14</f>
        <v>-963</v>
      </c>
      <c r="C53" s="9">
        <f>-'Segmental forecast'!C14</f>
        <v>-1143</v>
      </c>
      <c r="D53" s="9">
        <f>-'Segmental forecast'!D14</f>
        <v>-1105</v>
      </c>
      <c r="E53" s="9">
        <f>-'Segmental forecast'!E14</f>
        <v>-1028</v>
      </c>
      <c r="F53" s="9">
        <f>-'Segmental forecast'!F14</f>
        <v>-1119</v>
      </c>
      <c r="G53" s="9">
        <f>-'Segmental forecast'!G14</f>
        <v>-1086</v>
      </c>
      <c r="H53" s="9">
        <f>-'Segmental forecast'!H14</f>
        <v>-695</v>
      </c>
      <c r="I53" s="9">
        <f>-'Segmental forecast'!I14</f>
        <v>-758</v>
      </c>
      <c r="J53" s="9">
        <f>I53*(1+O53)</f>
        <v>-746.0262738</v>
      </c>
      <c r="K53" s="9">
        <f>J53*(1+O53)</f>
        <v>-734.2416902</v>
      </c>
      <c r="L53" s="9">
        <f>K53*(1+O53)</f>
        <v>-722.6432615</v>
      </c>
      <c r="M53" s="9">
        <f>L53*(1+O53)</f>
        <v>-711.228047</v>
      </c>
      <c r="N53" s="9">
        <f>M53*(1+O53)</f>
        <v>-699.9931527</v>
      </c>
      <c r="O53" s="57">
        <f>(S53+Q53+P53+R53+T53+U53+V53)/8</f>
        <v>-0.01579647257</v>
      </c>
      <c r="P53" s="46">
        <f t="shared" ref="P53:V53" si="69">+IFERROR(C53/B53-1,"n+m")</f>
        <v>0.1869158879</v>
      </c>
      <c r="Q53" s="46">
        <f t="shared" si="69"/>
        <v>-0.03324584427</v>
      </c>
      <c r="R53" s="46">
        <f t="shared" si="69"/>
        <v>-0.06968325792</v>
      </c>
      <c r="S53" s="46">
        <f t="shared" si="69"/>
        <v>0.08852140078</v>
      </c>
      <c r="T53" s="46">
        <f t="shared" si="69"/>
        <v>-0.02949061662</v>
      </c>
      <c r="U53" s="46">
        <f t="shared" si="69"/>
        <v>-0.3600368324</v>
      </c>
      <c r="V53" s="46">
        <f t="shared" si="69"/>
        <v>0.09064748201</v>
      </c>
      <c r="W53" s="58">
        <f t="shared" ref="W53:AA53" si="70">J53/I53-1</f>
        <v>-0.01579647257</v>
      </c>
      <c r="X53" s="58">
        <f t="shared" si="70"/>
        <v>-0.01579647257</v>
      </c>
      <c r="Y53" s="58">
        <f t="shared" si="70"/>
        <v>-0.01579647257</v>
      </c>
      <c r="Z53" s="58">
        <f t="shared" si="70"/>
        <v>-0.01579647257</v>
      </c>
      <c r="AA53" s="58">
        <f t="shared" si="70"/>
        <v>-0.01579647257</v>
      </c>
    </row>
    <row r="54" ht="15.75" customHeight="1">
      <c r="A54" s="3" t="s">
        <v>214</v>
      </c>
      <c r="B54" s="12">
        <f t="shared" ref="B54:N54" si="71">B50-B49+B48-B53-B52</f>
        <v>3391</v>
      </c>
      <c r="C54" s="12">
        <f t="shared" si="71"/>
        <v>5262</v>
      </c>
      <c r="D54" s="12">
        <f t="shared" si="71"/>
        <v>6146</v>
      </c>
      <c r="E54" s="12">
        <f t="shared" si="71"/>
        <v>4892</v>
      </c>
      <c r="F54" s="12">
        <f t="shared" si="71"/>
        <v>5962</v>
      </c>
      <c r="G54" s="12">
        <f t="shared" si="71"/>
        <v>3313</v>
      </c>
      <c r="H54" s="12">
        <f t="shared" si="71"/>
        <v>6621</v>
      </c>
      <c r="I54" s="12">
        <f t="shared" si="71"/>
        <v>7117</v>
      </c>
      <c r="J54" s="12">
        <f t="shared" si="71"/>
        <v>6967.908607</v>
      </c>
      <c r="K54" s="12">
        <f t="shared" si="71"/>
        <v>7328.874833</v>
      </c>
      <c r="L54" s="12">
        <f t="shared" si="71"/>
        <v>7712.019153</v>
      </c>
      <c r="M54" s="12">
        <f t="shared" si="71"/>
        <v>8118.665863</v>
      </c>
      <c r="N54" s="12">
        <f t="shared" si="71"/>
        <v>8550.223334</v>
      </c>
      <c r="O54" s="61"/>
    </row>
    <row r="55" ht="15.75" customHeight="1">
      <c r="A55" s="2" t="s">
        <v>215</v>
      </c>
      <c r="B55" s="9">
        <f>+Historicals!B76-(B50+B52+B48)</f>
        <v>1144</v>
      </c>
      <c r="C55" s="9">
        <f>+Historicals!C76-(C50+C52+C48)</f>
        <v>-820</v>
      </c>
      <c r="D55" s="9">
        <f>+Historicals!D76-(D50+D52+D48)</f>
        <v>-306</v>
      </c>
      <c r="E55" s="9">
        <f>+Historicals!E76-(E50+E52+E48)</f>
        <v>154</v>
      </c>
      <c r="F55" s="9">
        <f>+Historicals!F76-(F50+F52+F48)</f>
        <v>1907</v>
      </c>
      <c r="G55" s="9">
        <f>+Historicals!G76-(G50+G52+G48)</f>
        <v>402</v>
      </c>
      <c r="H55" s="9">
        <f>+Historicals!H76-(H50+H52+H48)</f>
        <v>780</v>
      </c>
      <c r="I55" s="9">
        <f>+Historicals!I76-(I50+I52+I48)</f>
        <v>94</v>
      </c>
      <c r="J55" s="9">
        <f>+SUM(G55:I55)/8</f>
        <v>159.5</v>
      </c>
      <c r="K55" s="9">
        <f>+SUM(G55:J55)/8</f>
        <v>179.4375</v>
      </c>
      <c r="L55" s="9">
        <f>+SUM(G55:K55)/8</f>
        <v>201.8671875</v>
      </c>
      <c r="M55" s="9">
        <f>+SUM(G55:L55)/8</f>
        <v>227.1005859</v>
      </c>
      <c r="N55" s="9">
        <f>+SUM(G55:M55)/8</f>
        <v>255.4881592</v>
      </c>
    </row>
    <row r="56" ht="15.75" customHeight="1">
      <c r="A56" s="28" t="s">
        <v>216</v>
      </c>
      <c r="B56" s="82">
        <f t="shared" ref="B56:N56" si="72">B50+B52+B48+B55</f>
        <v>4608</v>
      </c>
      <c r="C56" s="82">
        <f t="shared" si="72"/>
        <v>3399</v>
      </c>
      <c r="D56" s="82">
        <f t="shared" si="72"/>
        <v>3846</v>
      </c>
      <c r="E56" s="82">
        <f t="shared" si="72"/>
        <v>4955</v>
      </c>
      <c r="F56" s="82">
        <f t="shared" si="72"/>
        <v>5903</v>
      </c>
      <c r="G56" s="82">
        <f t="shared" si="72"/>
        <v>2485</v>
      </c>
      <c r="H56" s="82">
        <f t="shared" si="72"/>
        <v>6657</v>
      </c>
      <c r="I56" s="82">
        <f t="shared" si="72"/>
        <v>5188</v>
      </c>
      <c r="J56" s="82">
        <f t="shared" si="72"/>
        <v>6006.984716</v>
      </c>
      <c r="K56" s="82">
        <f t="shared" si="72"/>
        <v>6302.511756</v>
      </c>
      <c r="L56" s="82">
        <f t="shared" si="72"/>
        <v>6612.134988</v>
      </c>
      <c r="M56" s="82">
        <f t="shared" si="72"/>
        <v>6936.542573</v>
      </c>
      <c r="N56" s="82">
        <f t="shared" si="72"/>
        <v>7276.462843</v>
      </c>
    </row>
    <row r="57" ht="15.75" customHeight="1">
      <c r="A57" s="2" t="s">
        <v>217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ht="15.75" customHeight="1">
      <c r="A58" s="2" t="s">
        <v>218</v>
      </c>
      <c r="B58" s="9">
        <f>Historicals!B84+Historicals!B83+Historicals!B81+Historicals!B80+Historicals!B79+Historicals!B78</f>
        <v>860</v>
      </c>
      <c r="C58" s="9">
        <f>Historicals!C84+Historicals!C83+Historicals!C81+Historicals!C80+Historicals!C79+Historicals!C78</f>
        <v>109</v>
      </c>
      <c r="D58" s="9">
        <f>Historicals!D84+Historicals!D83+Historicals!D81+Historicals!D80+Historicals!D79+Historicals!D78</f>
        <v>97</v>
      </c>
      <c r="E58" s="9">
        <f>Historicals!E84+Historicals!E83+Historicals!E81+Historicals!E80+Historicals!E79+Historicals!E78</f>
        <v>1304</v>
      </c>
      <c r="F58" s="9">
        <f>Historicals!F84+Historicals!F83+Historicals!F81+Historicals!F80+Historicals!F79+Historicals!F78</f>
        <v>855</v>
      </c>
      <c r="G58" s="9">
        <f>Historicals!G84+Historicals!G83+Historicals!G81+Historicals!G80+Historicals!G79+Historicals!G78</f>
        <v>58</v>
      </c>
      <c r="H58" s="9">
        <f>Historicals!H84+Historicals!H83+Historicals!H81+Historicals!H80+Historicals!H79+Historicals!H78</f>
        <v>-3105</v>
      </c>
      <c r="I58" s="9">
        <f>Historicals!I84+Historicals!I83+Historicals!I81+Historicals!I80+Historicals!I79+Historicals!I78</f>
        <v>-766</v>
      </c>
      <c r="J58" s="9">
        <f t="shared" ref="J58:N58" si="73">+SUM(B58:I58)/8</f>
        <v>-73.5</v>
      </c>
      <c r="K58" s="9">
        <f t="shared" si="73"/>
        <v>-190.1875</v>
      </c>
      <c r="L58" s="9">
        <f t="shared" si="73"/>
        <v>-227.5859375</v>
      </c>
      <c r="M58" s="9">
        <f t="shared" si="73"/>
        <v>-268.1591797</v>
      </c>
      <c r="N58" s="9">
        <f t="shared" si="73"/>
        <v>-464.6790771</v>
      </c>
    </row>
    <row r="59" ht="15.75" customHeight="1">
      <c r="A59" s="28" t="s">
        <v>219</v>
      </c>
      <c r="B59" s="85">
        <f t="shared" ref="B59:N59" si="74">B58+B57+B53</f>
        <v>-103</v>
      </c>
      <c r="C59" s="85">
        <f t="shared" si="74"/>
        <v>-1034</v>
      </c>
      <c r="D59" s="85">
        <f t="shared" si="74"/>
        <v>-1008</v>
      </c>
      <c r="E59" s="85">
        <f t="shared" si="74"/>
        <v>276</v>
      </c>
      <c r="F59" s="85">
        <f t="shared" si="74"/>
        <v>-264</v>
      </c>
      <c r="G59" s="85">
        <f t="shared" si="74"/>
        <v>-1028</v>
      </c>
      <c r="H59" s="85">
        <f t="shared" si="74"/>
        <v>-3800</v>
      </c>
      <c r="I59" s="85">
        <f t="shared" si="74"/>
        <v>-1524</v>
      </c>
      <c r="J59" s="85">
        <f t="shared" si="74"/>
        <v>-819.5262738</v>
      </c>
      <c r="K59" s="85">
        <f t="shared" si="74"/>
        <v>-924.4291902</v>
      </c>
      <c r="L59" s="85">
        <f t="shared" si="74"/>
        <v>-950.229199</v>
      </c>
      <c r="M59" s="85">
        <f t="shared" si="74"/>
        <v>-979.3872267</v>
      </c>
      <c r="N59" s="85">
        <f t="shared" si="74"/>
        <v>-1164.67223</v>
      </c>
    </row>
    <row r="60" ht="15.75" customHeight="1">
      <c r="A60" s="2" t="s">
        <v>220</v>
      </c>
      <c r="B60" s="19">
        <f>+Historicals!B91+Historicals!B92</f>
        <v>732</v>
      </c>
      <c r="C60" s="19">
        <f>+Historicals!C91+Historicals!C92</f>
        <v>-2731</v>
      </c>
      <c r="D60" s="19">
        <f>+Historicals!D91+Historicals!D92</f>
        <v>-2734</v>
      </c>
      <c r="E60" s="19">
        <f>+Historicals!E91+Historicals!E92</f>
        <v>-3521</v>
      </c>
      <c r="F60" s="19">
        <f>+Historicals!F91+Historicals!F92</f>
        <v>-3586</v>
      </c>
      <c r="G60" s="19">
        <f>+Historicals!G91+Historicals!G92</f>
        <v>-2182</v>
      </c>
      <c r="H60" s="19">
        <f>+Historicals!H91+Historicals!H92</f>
        <v>564</v>
      </c>
      <c r="I60" s="19">
        <f>+Historicals!I91+Historicals!I92</f>
        <v>-2863</v>
      </c>
      <c r="J60" s="9">
        <f t="shared" ref="J60:N60" si="75">+SUM(B60:I60)/8</f>
        <v>-2040.125</v>
      </c>
      <c r="K60" s="9">
        <f t="shared" si="75"/>
        <v>-2386.640625</v>
      </c>
      <c r="L60" s="9">
        <f t="shared" si="75"/>
        <v>-2343.595703</v>
      </c>
      <c r="M60" s="9">
        <f t="shared" si="75"/>
        <v>-2294.795166</v>
      </c>
      <c r="N60" s="9">
        <f t="shared" si="75"/>
        <v>-2141.519562</v>
      </c>
    </row>
    <row r="61" ht="15.75" customHeight="1">
      <c r="A61" s="45" t="s">
        <v>146</v>
      </c>
      <c r="B61" s="46">
        <f>+IFERROR(B60/Historicals!K91-1,"nm")</f>
        <v>0.911227154</v>
      </c>
      <c r="C61" s="46">
        <f t="shared" ref="C61:N61" si="76">+IFERROR(C60/B60-1,"nm")</f>
        <v>-4.730874317</v>
      </c>
      <c r="D61" s="46">
        <f t="shared" si="76"/>
        <v>0.001098498718</v>
      </c>
      <c r="E61" s="46">
        <f t="shared" si="76"/>
        <v>0.2878566203</v>
      </c>
      <c r="F61" s="46">
        <f t="shared" si="76"/>
        <v>0.01846066458</v>
      </c>
      <c r="G61" s="46">
        <f t="shared" si="76"/>
        <v>-0.3915225878</v>
      </c>
      <c r="H61" s="46">
        <f t="shared" si="76"/>
        <v>-1.25847846</v>
      </c>
      <c r="I61" s="46">
        <f t="shared" si="76"/>
        <v>-6.076241135</v>
      </c>
      <c r="J61" s="46">
        <f t="shared" si="76"/>
        <v>-0.2874170451</v>
      </c>
      <c r="K61" s="46">
        <f t="shared" si="76"/>
        <v>0.169850193</v>
      </c>
      <c r="L61" s="46">
        <f t="shared" si="76"/>
        <v>-0.01803577859</v>
      </c>
      <c r="M61" s="46">
        <f t="shared" si="76"/>
        <v>-0.02082293334</v>
      </c>
      <c r="N61" s="46">
        <f t="shared" si="76"/>
        <v>-0.06679271707</v>
      </c>
    </row>
    <row r="62" ht="15.75" customHeight="1">
      <c r="A62" s="2" t="s">
        <v>221</v>
      </c>
      <c r="B62" s="9">
        <f>+Historicals!B93</f>
        <v>-2534</v>
      </c>
      <c r="C62" s="9">
        <f>+Historicals!C93</f>
        <v>-1022</v>
      </c>
      <c r="D62" s="9">
        <f>+Historicals!D93</f>
        <v>-1133</v>
      </c>
      <c r="E62" s="9">
        <f>+Historicals!E93</f>
        <v>-1243</v>
      </c>
      <c r="F62" s="9">
        <f>+Historicals!F93</f>
        <v>-1332</v>
      </c>
      <c r="G62" s="9">
        <f>+Historicals!G93</f>
        <v>-1452</v>
      </c>
      <c r="H62" s="9">
        <f>+Historicals!H93</f>
        <v>-1638</v>
      </c>
      <c r="I62" s="9">
        <f>+Historicals!I93</f>
        <v>-1837</v>
      </c>
      <c r="J62" s="9">
        <f>I62*(1+O62)</f>
        <v>-1978.673527</v>
      </c>
      <c r="K62" s="9">
        <f>J62*(1+O62)</f>
        <v>-2131.273231</v>
      </c>
      <c r="L62" s="9">
        <f>K62*(1+O62)</f>
        <v>-2295.641763</v>
      </c>
      <c r="M62" s="9">
        <f>L62*(1+O62)</f>
        <v>-2472.686763</v>
      </c>
      <c r="N62" s="9">
        <f>M62*(1+O62)</f>
        <v>-2663.385867</v>
      </c>
      <c r="O62" s="57">
        <f>(S62+Q62+P62+R62+T62+U62+V62)/8</f>
        <v>0.07712222459</v>
      </c>
      <c r="P62" s="46"/>
      <c r="Q62" s="46">
        <f t="shared" ref="Q62:V62" si="77">+IFERROR(D62/C62-1,"n+m")</f>
        <v>0.1086105675</v>
      </c>
      <c r="R62" s="46">
        <f t="shared" si="77"/>
        <v>0.09708737864</v>
      </c>
      <c r="S62" s="46">
        <f t="shared" si="77"/>
        <v>0.07160096541</v>
      </c>
      <c r="T62" s="46">
        <f t="shared" si="77"/>
        <v>0.09009009009</v>
      </c>
      <c r="U62" s="46">
        <f t="shared" si="77"/>
        <v>0.1280991736</v>
      </c>
      <c r="V62" s="46">
        <f t="shared" si="77"/>
        <v>0.1214896215</v>
      </c>
      <c r="W62" s="58">
        <f t="shared" ref="W62:AA62" si="78">J62/I62-1</f>
        <v>0.07712222459</v>
      </c>
      <c r="X62" s="58">
        <f t="shared" si="78"/>
        <v>0.07712222459</v>
      </c>
      <c r="Y62" s="58">
        <f t="shared" si="78"/>
        <v>0.07712222459</v>
      </c>
      <c r="Z62" s="58">
        <f t="shared" si="78"/>
        <v>0.07712222459</v>
      </c>
      <c r="AA62" s="58">
        <f t="shared" si="78"/>
        <v>0.07712222459</v>
      </c>
    </row>
    <row r="63" ht="15.75" customHeight="1">
      <c r="A63" s="2" t="s">
        <v>222</v>
      </c>
      <c r="B63" s="19">
        <f>+SUM(Historicals!B87:B90)</f>
        <v>-89</v>
      </c>
      <c r="C63" s="19">
        <f>+SUM(Historicals!C87:C90)</f>
        <v>801</v>
      </c>
      <c r="D63" s="19">
        <f>+SUM(Historicals!D87:D90)</f>
        <v>1748</v>
      </c>
      <c r="E63" s="19">
        <f>+SUM(Historicals!E87:E90)</f>
        <v>-16</v>
      </c>
      <c r="F63" s="19">
        <f>+SUM(Historicals!F87:F90)</f>
        <v>-325</v>
      </c>
      <c r="G63" s="19">
        <f>+SUM(Historicals!G87:G90)</f>
        <v>6183</v>
      </c>
      <c r="H63" s="19">
        <f>+SUM(Historicals!H87:H90)</f>
        <v>-249</v>
      </c>
      <c r="I63" s="19">
        <f>+SUM(Historicals!I87:I90)</f>
        <v>15</v>
      </c>
      <c r="J63" s="9">
        <f>(E63+F63+H63+I63)/4</f>
        <v>-143.75</v>
      </c>
      <c r="K63" s="9">
        <f>(E63+F63+H63+I63+J63)/4</f>
        <v>-179.6875</v>
      </c>
      <c r="L63" s="9">
        <f>(E63+F63+H63+I63+J63+K63)/4</f>
        <v>-224.609375</v>
      </c>
      <c r="M63" s="9">
        <f t="shared" ref="M63:N63" si="79">(I63+J63+K63+L63)/4</f>
        <v>-133.2617188</v>
      </c>
      <c r="N63" s="9">
        <f t="shared" si="79"/>
        <v>-170.3271484</v>
      </c>
    </row>
    <row r="64" ht="15.75" customHeight="1">
      <c r="A64" s="2" t="s">
        <v>223</v>
      </c>
      <c r="B64" s="9">
        <f>+Historicals!B94</f>
        <v>-899</v>
      </c>
      <c r="C64" s="9">
        <f>+Historicals!C94</f>
        <v>-22</v>
      </c>
      <c r="D64" s="9">
        <f>+Historicals!D94</f>
        <v>-29</v>
      </c>
      <c r="E64" s="9">
        <f>+Historicals!E94</f>
        <v>-55</v>
      </c>
      <c r="F64" s="9">
        <f>+Historicals!F94</f>
        <v>-50</v>
      </c>
      <c r="G64" s="9">
        <f>+Historicals!G94</f>
        <v>-58</v>
      </c>
      <c r="H64" s="9">
        <f>+Historicals!H94</f>
        <v>-136</v>
      </c>
      <c r="I64" s="9">
        <f>+Historicals!I94</f>
        <v>-151</v>
      </c>
      <c r="J64" s="9">
        <f>I64*(1+V64)</f>
        <v>-167.6544118</v>
      </c>
      <c r="K64" s="9">
        <f>J64*(1+V64)</f>
        <v>-186.1457072</v>
      </c>
      <c r="L64" s="9">
        <f>K64*(1+V64)</f>
        <v>-206.6764837</v>
      </c>
      <c r="M64" s="9">
        <f>L64*(1+V64)</f>
        <v>-229.4716841</v>
      </c>
      <c r="N64" s="9">
        <f>M64*(1+V64)</f>
        <v>-254.781061</v>
      </c>
      <c r="O64" s="57"/>
      <c r="P64" s="46"/>
      <c r="Q64" s="46"/>
      <c r="R64" s="46"/>
      <c r="S64" s="46"/>
      <c r="T64" s="46"/>
      <c r="U64" s="46"/>
      <c r="V64" s="46">
        <f>+IFERROR(I64/H64-1,"n+m")</f>
        <v>0.1102941176</v>
      </c>
    </row>
    <row r="65" ht="15.75" customHeight="1">
      <c r="A65" s="28" t="s">
        <v>224</v>
      </c>
      <c r="B65" s="85">
        <f t="shared" ref="B65:N65" si="80">B60+B62+B63+B64</f>
        <v>-2790</v>
      </c>
      <c r="C65" s="85">
        <f t="shared" si="80"/>
        <v>-2974</v>
      </c>
      <c r="D65" s="85">
        <f t="shared" si="80"/>
        <v>-2148</v>
      </c>
      <c r="E65" s="85">
        <f t="shared" si="80"/>
        <v>-4835</v>
      </c>
      <c r="F65" s="85">
        <f t="shared" si="80"/>
        <v>-5293</v>
      </c>
      <c r="G65" s="85">
        <f t="shared" si="80"/>
        <v>2491</v>
      </c>
      <c r="H65" s="85">
        <f t="shared" si="80"/>
        <v>-1459</v>
      </c>
      <c r="I65" s="85">
        <f t="shared" si="80"/>
        <v>-4836</v>
      </c>
      <c r="J65" s="85">
        <f t="shared" si="80"/>
        <v>-4330.202938</v>
      </c>
      <c r="K65" s="85">
        <f t="shared" si="80"/>
        <v>-4883.747063</v>
      </c>
      <c r="L65" s="85">
        <f t="shared" si="80"/>
        <v>-5070.523325</v>
      </c>
      <c r="M65" s="85">
        <f t="shared" si="80"/>
        <v>-5130.215332</v>
      </c>
      <c r="N65" s="85">
        <f t="shared" si="80"/>
        <v>-5230.013638</v>
      </c>
    </row>
    <row r="66" ht="15.75" customHeight="1">
      <c r="A66" s="2" t="s">
        <v>225</v>
      </c>
      <c r="B66" s="9">
        <f>+Historicals!B96</f>
        <v>-83</v>
      </c>
      <c r="C66" s="9">
        <f>+Historicals!C96</f>
        <v>-105</v>
      </c>
      <c r="D66" s="9">
        <f>+Historicals!D96</f>
        <v>-20</v>
      </c>
      <c r="E66" s="9">
        <f>+Historicals!E96</f>
        <v>45</v>
      </c>
      <c r="F66" s="9">
        <f>+Historicals!F96</f>
        <v>-129</v>
      </c>
      <c r="G66" s="9">
        <f>+Historicals!G96</f>
        <v>-66</v>
      </c>
      <c r="H66" s="9">
        <f>+Historicals!H96</f>
        <v>143</v>
      </c>
      <c r="I66" s="9">
        <f>+Historicals!I96</f>
        <v>-143</v>
      </c>
      <c r="J66" s="9">
        <f t="shared" ref="J66:N66" si="81">+SUM(B66:I66)/8</f>
        <v>-44.75</v>
      </c>
      <c r="K66" s="9">
        <f t="shared" si="81"/>
        <v>-39.96875</v>
      </c>
      <c r="L66" s="9">
        <f t="shared" si="81"/>
        <v>-31.83984375</v>
      </c>
      <c r="M66" s="9">
        <f t="shared" si="81"/>
        <v>-33.31982422</v>
      </c>
      <c r="N66" s="9">
        <f t="shared" si="81"/>
        <v>-43.10980225</v>
      </c>
    </row>
    <row r="67" ht="15.75" customHeight="1">
      <c r="A67" s="28" t="s">
        <v>226</v>
      </c>
      <c r="B67" s="27">
        <f t="shared" ref="B67:N67" si="82">B56+B59+B65+B66</f>
        <v>1632</v>
      </c>
      <c r="C67" s="27">
        <f t="shared" si="82"/>
        <v>-714</v>
      </c>
      <c r="D67" s="27">
        <f t="shared" si="82"/>
        <v>670</v>
      </c>
      <c r="E67" s="27">
        <f t="shared" si="82"/>
        <v>441</v>
      </c>
      <c r="F67" s="27">
        <f t="shared" si="82"/>
        <v>217</v>
      </c>
      <c r="G67" s="27">
        <f t="shared" si="82"/>
        <v>3882</v>
      </c>
      <c r="H67" s="27">
        <f t="shared" si="82"/>
        <v>1541</v>
      </c>
      <c r="I67" s="27">
        <f t="shared" si="82"/>
        <v>-1315</v>
      </c>
      <c r="J67" s="27">
        <f t="shared" si="82"/>
        <v>812.5055043</v>
      </c>
      <c r="K67" s="27">
        <f t="shared" si="82"/>
        <v>454.3667532</v>
      </c>
      <c r="L67" s="27">
        <f t="shared" si="82"/>
        <v>559.5426202</v>
      </c>
      <c r="M67" s="27">
        <f t="shared" si="82"/>
        <v>793.6201898</v>
      </c>
      <c r="N67" s="27">
        <f t="shared" si="82"/>
        <v>838.6671725</v>
      </c>
    </row>
    <row r="68" ht="15.75" customHeight="1">
      <c r="A68" s="2" t="s">
        <v>227</v>
      </c>
      <c r="B68" s="19">
        <f>+Historicals!B98</f>
        <v>2220</v>
      </c>
      <c r="C68" s="86">
        <f t="shared" ref="C68:N68" si="83">B69</f>
        <v>3852</v>
      </c>
      <c r="D68" s="86">
        <f t="shared" si="83"/>
        <v>3138</v>
      </c>
      <c r="E68" s="86">
        <f t="shared" si="83"/>
        <v>3808</v>
      </c>
      <c r="F68" s="86">
        <f t="shared" si="83"/>
        <v>4249</v>
      </c>
      <c r="G68" s="86">
        <f t="shared" si="83"/>
        <v>4466</v>
      </c>
      <c r="H68" s="86">
        <f t="shared" si="83"/>
        <v>8348</v>
      </c>
      <c r="I68" s="86">
        <f t="shared" si="83"/>
        <v>9889</v>
      </c>
      <c r="J68" s="86">
        <f t="shared" si="83"/>
        <v>8574</v>
      </c>
      <c r="K68" s="86">
        <f t="shared" si="83"/>
        <v>9386.505504</v>
      </c>
      <c r="L68" s="86">
        <f t="shared" si="83"/>
        <v>9840.872258</v>
      </c>
      <c r="M68" s="86">
        <f t="shared" si="83"/>
        <v>10400.41488</v>
      </c>
      <c r="N68" s="86">
        <f t="shared" si="83"/>
        <v>11194.03507</v>
      </c>
    </row>
    <row r="69" ht="15.75" customHeight="1">
      <c r="A69" s="87" t="s">
        <v>228</v>
      </c>
      <c r="B69" s="88">
        <f t="shared" ref="B69:N69" si="84">B67+B68</f>
        <v>3852</v>
      </c>
      <c r="C69" s="88">
        <f t="shared" si="84"/>
        <v>3138</v>
      </c>
      <c r="D69" s="88">
        <f t="shared" si="84"/>
        <v>3808</v>
      </c>
      <c r="E69" s="88">
        <f t="shared" si="84"/>
        <v>4249</v>
      </c>
      <c r="F69" s="88">
        <f t="shared" si="84"/>
        <v>4466</v>
      </c>
      <c r="G69" s="88">
        <f t="shared" si="84"/>
        <v>8348</v>
      </c>
      <c r="H69" s="88">
        <f t="shared" si="84"/>
        <v>9889</v>
      </c>
      <c r="I69" s="88">
        <f t="shared" si="84"/>
        <v>8574</v>
      </c>
      <c r="J69" s="88">
        <f t="shared" si="84"/>
        <v>9386.505504</v>
      </c>
      <c r="K69" s="88">
        <f t="shared" si="84"/>
        <v>9840.872258</v>
      </c>
      <c r="L69" s="88">
        <f t="shared" si="84"/>
        <v>10400.41488</v>
      </c>
      <c r="M69" s="88">
        <f t="shared" si="84"/>
        <v>11194.03507</v>
      </c>
      <c r="N69" s="88">
        <f t="shared" si="84"/>
        <v>12032.70224</v>
      </c>
    </row>
    <row r="70" ht="15.75" customHeight="1">
      <c r="A70" s="3"/>
      <c r="B70" s="89">
        <f t="shared" ref="B70:N70" si="85">+B69-B21</f>
        <v>0</v>
      </c>
      <c r="C70" s="89">
        <f t="shared" si="85"/>
        <v>0</v>
      </c>
      <c r="D70" s="89">
        <f t="shared" si="85"/>
        <v>0</v>
      </c>
      <c r="E70" s="89">
        <f t="shared" si="85"/>
        <v>0</v>
      </c>
      <c r="F70" s="89">
        <f t="shared" si="85"/>
        <v>0</v>
      </c>
      <c r="G70" s="89">
        <f t="shared" si="85"/>
        <v>0</v>
      </c>
      <c r="H70" s="89">
        <f t="shared" si="85"/>
        <v>0</v>
      </c>
      <c r="I70" s="89">
        <f t="shared" si="85"/>
        <v>0</v>
      </c>
      <c r="J70" s="89">
        <f t="shared" si="85"/>
        <v>736.4943422</v>
      </c>
      <c r="K70" s="89">
        <f t="shared" si="85"/>
        <v>1114.176071</v>
      </c>
      <c r="L70" s="89">
        <f t="shared" si="85"/>
        <v>1596.35383</v>
      </c>
      <c r="M70" s="89">
        <f t="shared" si="85"/>
        <v>2311.923295</v>
      </c>
      <c r="N70" s="89">
        <f t="shared" si="85"/>
        <v>3071.847799</v>
      </c>
    </row>
    <row r="71" ht="15.75" customHeight="1">
      <c r="A71" s="3" t="s">
        <v>229</v>
      </c>
      <c r="B71" s="12">
        <f t="shared" ref="B71:N71" si="86">B21-B44</f>
        <v>-15614</v>
      </c>
      <c r="C71" s="12">
        <f t="shared" si="86"/>
        <v>-16067</v>
      </c>
      <c r="D71" s="12">
        <f t="shared" si="86"/>
        <v>-17403</v>
      </c>
      <c r="E71" s="12">
        <f t="shared" si="86"/>
        <v>-16008</v>
      </c>
      <c r="F71" s="12">
        <f t="shared" si="86"/>
        <v>-16639</v>
      </c>
      <c r="G71" s="12">
        <f t="shared" si="86"/>
        <v>-20746</v>
      </c>
      <c r="H71" s="12">
        <f t="shared" si="86"/>
        <v>-25015</v>
      </c>
      <c r="I71" s="12">
        <f t="shared" si="86"/>
        <v>-28389</v>
      </c>
      <c r="J71" s="12">
        <f t="shared" si="86"/>
        <v>-28893.07292</v>
      </c>
      <c r="K71" s="12">
        <f t="shared" si="86"/>
        <v>-30419.97875</v>
      </c>
      <c r="L71" s="12">
        <f t="shared" si="86"/>
        <v>-32297.47532</v>
      </c>
      <c r="M71" s="12">
        <f t="shared" si="86"/>
        <v>-33965.1552</v>
      </c>
      <c r="N71" s="12">
        <f t="shared" si="86"/>
        <v>-36086.41891</v>
      </c>
    </row>
    <row r="72" ht="15.75" customHeight="1">
      <c r="B72" s="90">
        <f t="shared" ref="B72:N72" si="87">B36+B35+B37+B39+B32-(B21+B30+B29+B28+B27+B26+B25+B22)</f>
        <v>5564</v>
      </c>
      <c r="C72" s="90">
        <f t="shared" si="87"/>
        <v>5888</v>
      </c>
      <c r="D72" s="90">
        <f t="shared" si="87"/>
        <v>6684</v>
      </c>
      <c r="E72" s="90">
        <f t="shared" si="87"/>
        <v>6480</v>
      </c>
      <c r="F72" s="90">
        <f t="shared" si="87"/>
        <v>7282</v>
      </c>
      <c r="G72" s="90">
        <f t="shared" si="87"/>
        <v>7868</v>
      </c>
      <c r="H72" s="90">
        <f t="shared" si="87"/>
        <v>8481</v>
      </c>
      <c r="I72" s="90">
        <f t="shared" si="87"/>
        <v>9729</v>
      </c>
      <c r="J72" s="86">
        <f t="shared" si="87"/>
        <v>11009.05462</v>
      </c>
      <c r="K72" s="86">
        <f t="shared" si="87"/>
        <v>10996.74218</v>
      </c>
      <c r="L72" s="86">
        <f t="shared" si="87"/>
        <v>12081.20294</v>
      </c>
      <c r="M72" s="86">
        <f t="shared" si="87"/>
        <v>13126.06112</v>
      </c>
      <c r="N72" s="86">
        <f t="shared" si="87"/>
        <v>14153.56172</v>
      </c>
    </row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5277777777778" footer="0.0" header="0.0" left="0.7875" right="0.7875" top="1.05277777777778"/>
  <pageSetup paperSize="9" orientation="portrait"/>
  <headerFooter>
    <oddHeader>&amp;Cffffff&amp;A</oddHeader>
    <oddFooter>&amp;CffffffPage 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2020-05-20T17:26:08Z</dcterms:created>
  <dc:creator>Dell</dc:creator>
</cp:coreProperties>
</file>