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Historicals" sheetId="2" r:id="rId5"/>
    <sheet state="visible" name="Segmental forecast" sheetId="3" r:id="rId6"/>
    <sheet state="visible" name="Three Statements" sheetId="4" r:id="rId7"/>
  </sheets>
  <definedNames/>
  <calcPr/>
  <extLst>
    <ext uri="GoogleSheetsCustomDataVersion2">
      <go:sheetsCustomData xmlns:go="http://customooxmlschemas.google.com/" r:id="rId8" roundtripDataChecksum="SsW2Pn0BxI6MKm4faIVJgm1E2/CL9cNVVChPEHsCc+w="/>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63">
      <text>
        <t xml:space="preserve">======
ID#AAABkLaU1Hk
Dell    (2025-05-24 12:31:39)
Kept as balancing figure, since the reported segmental breakdowns and the cahsflow numbers have a small difference which cannot be traced back.</t>
      </text>
    </comment>
  </commentList>
  <extLst>
    <ext uri="GoogleSheetsCustomDataVersion2">
      <go:sheetsCustomData xmlns:go="http://customooxmlschemas.google.com/" r:id="rId1" roundtripDataSignature="AMtx7mjKxel73+EdapgKTBDVfY6a+52aSA=="/>
    </ext>
  </extLst>
</comments>
</file>

<file path=xl/sharedStrings.xml><?xml version="1.0" encoding="utf-8"?>
<sst xmlns="http://schemas.openxmlformats.org/spreadsheetml/2006/main" count="380" uniqueCount="225">
  <si>
    <t>Instructions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</si>
  <si>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</si>
  <si>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</si>
  <si>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</si>
  <si>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</si>
  <si>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</si>
  <si>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</si>
  <si>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</si>
  <si>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</si>
  <si>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</si>
  <si>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You can take up to 5 days for this exercise</t>
  </si>
  <si>
    <r>
      <rPr>
        <rFont val="Calibri"/>
        <b/>
        <color theme="0"/>
        <sz val="16.0"/>
      </rPr>
      <t>NIKE, INC.</t>
    </r>
    <r>
      <rPr>
        <rFont val="Calibri"/>
        <b/>
        <color theme="0"/>
        <sz val="20.0"/>
      </rPr>
      <t xml:space="preserve">
</t>
    </r>
    <r>
      <rPr>
        <rFont val="Calibri"/>
        <b val="0"/>
        <color theme="0"/>
        <sz val="11.0"/>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</si>
  <si>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</si>
  <si>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</si>
  <si>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</si>
  <si>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</si>
  <si>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</si>
  <si>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</si>
  <si>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</si>
  <si>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</si>
  <si>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</si>
  <si>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</si>
  <si>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</si>
  <si>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</si>
  <si>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</si>
  <si>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</si>
  <si>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</si>
  <si>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</si>
  <si>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</si>
  <si>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</si>
  <si>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</si>
  <si>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</si>
  <si>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</si>
  <si>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</si>
  <si>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</si>
  <si>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</si>
  <si>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</si>
  <si>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</si>
  <si>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</si>
  <si>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</si>
  <si>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</si>
  <si>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</si>
  <si>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</si>
  <si>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</si>
  <si>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</si>
  <si>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</si>
  <si>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</si>
  <si>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</si>
  <si>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</si>
  <si>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</si>
  <si>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</si>
  <si>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</si>
  <si>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</si>
  <si>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</si>
  <si>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</si>
  <si>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</si>
  <si>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</si>
  <si>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</si>
  <si>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</si>
  <si>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</si>
  <si>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</si>
  <si>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</si>
  <si>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</si>
  <si>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</si>
  <si>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</si>
  <si>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</si>
  <si>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</si>
  <si>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</si>
  <si>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</si>
  <si>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</si>
  <si>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</si>
  <si>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</si>
  <si>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</si>
  <si>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</si>
  <si>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</si>
  <si>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</si>
  <si>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</si>
  <si>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</si>
  <si>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</si>
  <si>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</si>
  <si>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</si>
  <si>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</si>
  <si>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</si>
  <si>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</si>
  <si>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</si>
  <si>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</si>
  <si>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</si>
  <si>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</si>
  <si>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</si>
  <si>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</si>
  <si>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</si>
  <si>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</si>
  <si>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</si>
  <si>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</si>
  <si>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</si>
  <si>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</si>
  <si>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</si>
  <si>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</si>
  <si>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</si>
  <si>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</si>
  <si>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</si>
  <si>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</si>
  <si>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</si>
  <si>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</si>
  <si>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</si>
  <si>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</si>
  <si>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</si>
  <si>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</si>
  <si>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</si>
  <si>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</si>
  <si>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</si>
  <si>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</si>
  <si>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</si>
  <si>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</si>
  <si>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</si>
  <si>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</si>
  <si>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</si>
  <si>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</si>
  <si>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</si>
  <si>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</si>
  <si>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</si>
  <si>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</si>
  <si>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n/a</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</si>
  <si>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</si>
  <si>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</si>
  <si>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</si>
  <si>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</si>
  <si>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</si>
  <si>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</si>
  <si>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</si>
  <si>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</si>
  <si>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</si>
  <si>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</si>
  <si>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</si>
  <si>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</si>
  <si>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</si>
  <si>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</si>
  <si>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</si>
  <si>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</si>
  <si>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r>
      <rPr>
        <rFont val="Calibri"/>
        <b/>
        <color theme="0"/>
        <sz val="16.0"/>
      </rPr>
      <t>NIKE, INC.</t>
    </r>
    <r>
      <rPr>
        <rFont val="Calibri"/>
        <b/>
        <color theme="0"/>
        <sz val="20.0"/>
      </rPr>
      <t xml:space="preserve">
</t>
    </r>
    <r>
      <rPr>
        <rFont val="Calibri"/>
        <b val="0"/>
        <color theme="0"/>
        <sz val="11.0"/>
      </rPr>
      <t>(Dollars and Shares in Millions Except Per Share Amounts)</t>
    </r>
  </si>
  <si>
    <t>Group Totals</t>
  </si>
  <si>
    <t>Group Revenue</t>
  </si>
  <si>
    <t>Add up the segment revenues from below</t>
  </si>
  <si>
    <t>Growth %</t>
  </si>
  <si>
    <t>EBITDA</t>
  </si>
  <si>
    <t>Add up the segment EBITDA from below</t>
  </si>
  <si>
    <t>Margin %</t>
  </si>
  <si>
    <t>D&amp;A</t>
  </si>
  <si>
    <t>Add up the segment D&amp;A from below</t>
  </si>
  <si>
    <t>As a  % of revenue</t>
  </si>
  <si>
    <t>EBIT</t>
  </si>
  <si>
    <t>EBITDA - D&amp;A</t>
  </si>
  <si>
    <t>Capex</t>
  </si>
  <si>
    <t>Add up the segment Capex from below</t>
  </si>
  <si>
    <t>Property, plant and equipment</t>
  </si>
  <si>
    <t>Add up the segment PPE from below</t>
  </si>
  <si>
    <t>Revenue</t>
  </si>
  <si>
    <t>Organic growth %</t>
  </si>
  <si>
    <t>Currency impact %</t>
  </si>
  <si>
    <t>As a % of PPE</t>
  </si>
  <si>
    <r>
      <rPr>
        <rFont val="Calibri"/>
        <b/>
        <color theme="0"/>
        <sz val="16.0"/>
      </rPr>
      <t>NIKE, INC.</t>
    </r>
    <r>
      <rPr>
        <rFont val="Calibri"/>
        <b/>
        <color theme="0"/>
        <sz val="20.0"/>
      </rPr>
      <t xml:space="preserve">
</t>
    </r>
    <r>
      <rPr>
        <rFont val="Calibri"/>
        <b val="0"/>
        <color theme="0"/>
        <sz val="11.0"/>
      </rPr>
      <t>(Dollars and Shares in Millions Except Per Share Amounts)</t>
    </r>
  </si>
  <si>
    <t>Comments</t>
  </si>
  <si>
    <t>Income Statement</t>
  </si>
  <si>
    <t>Revenue grows at a CAGR of ~4.9% from 2023–2027, based on historic average growth. NIKE's continued global expansion and digital sales support sustained growth.</t>
  </si>
  <si>
    <t>EBTDA</t>
  </si>
  <si>
    <t>EBITDA/EBIT margins stabilize ~11% post-COVID-19 recovery, aligned with NIKE’s margin rebound from supply chain stabilization and DTC (Direct-to-Consumer) shift.</t>
  </si>
  <si>
    <t>Depreciation &amp; Amortization is grown at ~5% CAGR from historical base; aligned with PPE trends.</t>
  </si>
  <si>
    <t>PBT</t>
  </si>
  <si>
    <t>Tax rate %</t>
  </si>
  <si>
    <t>Net Income</t>
  </si>
  <si>
    <t>Diluted number of shares</t>
  </si>
  <si>
    <t>DPS declines in later years to bring payout ratio closer to sustainable levels (~7%). This assumes NIKE retains more earnings for reinvestment or debt management.</t>
  </si>
  <si>
    <t>EPS</t>
  </si>
  <si>
    <t>DPS</t>
  </si>
  <si>
    <t>Payout ratio%</t>
  </si>
  <si>
    <t>Balance Sheet</t>
  </si>
  <si>
    <t>Cash and Cash Equivalents</t>
  </si>
  <si>
    <t>Other Items Included in Net Debt</t>
  </si>
  <si>
    <t>Net Working Capital</t>
  </si>
  <si>
    <t>Grows as a % of revenue from ~18% to ~24% by 2027, aligned with historical rising trend—inventory buildup and accounts receivable are rising with sales.</t>
  </si>
  <si>
    <t>As a % of revenue</t>
  </si>
  <si>
    <t>Other Current Assets</t>
  </si>
  <si>
    <t>Property Plant and Equipment</t>
  </si>
  <si>
    <t>Intangible Assets</t>
  </si>
  <si>
    <t>Intangibles remain flat while goodwill grows moderately, possibly from tuck-in acquisitions (added manually).</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</si>
  <si>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</si>
  <si>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</si>
  <si>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</si>
  <si>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</si>
  <si>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</si>
  <si>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</si>
  <si>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</si>
  <si>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</si>
  <si>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</si>
  <si>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</si>
  <si>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</si>
  <si>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</si>
  <si>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Directly linked to income statement forecasts.</t>
  </si>
  <si>
    <t>Cash Tax</t>
  </si>
  <si>
    <t>Calculated as: PBT x Tax Rate.</t>
  </si>
  <si>
    <t>NOPAT</t>
  </si>
  <si>
    <t>Cash Interest</t>
  </si>
  <si>
    <t>Linked to net debt. Approximated using: Cash Interest = Opening Net Debt × Interest Rate (est. ~2%)</t>
  </si>
  <si>
    <t>(Increase)/Decrease in Working Capital</t>
  </si>
  <si>
    <t>FCFF</t>
  </si>
  <si>
    <t>Other Operating Activities</t>
  </si>
  <si>
    <t>CFO</t>
  </si>
  <si>
    <t xml:space="preserve">Acquisitions </t>
  </si>
  <si>
    <t>Other Investing Activities</t>
  </si>
  <si>
    <t>CFI</t>
  </si>
  <si>
    <t>Share Issuance/Buybacks</t>
  </si>
  <si>
    <t>Based on historical average ($2B/year), declining slightly to ensure cash sustainability. Used formula: Buyback Amount = Shares Repurchased × Share Price.</t>
  </si>
  <si>
    <t>Dividends Paid to Shareholders</t>
  </si>
  <si>
    <t>Borrowings</t>
  </si>
  <si>
    <t>Other Financing Activities</t>
  </si>
  <si>
    <t>CFF</t>
  </si>
  <si>
    <t>Other Adjustments</t>
  </si>
  <si>
    <t>Net Change in Cash</t>
  </si>
  <si>
    <t>Derived from total of CFO + CFI + CFF + Other Adjustments.</t>
  </si>
  <si>
    <t>Opening Cash</t>
  </si>
  <si>
    <t>Closing Cash</t>
  </si>
  <si>
    <t>Linked to opening cash + net change in cash.</t>
  </si>
  <si>
    <t>Net Debt (Cash)</t>
  </si>
  <si>
    <t>Net Debt = Long-Term Debt + Short-Term Debt + Other Debt Items - Cash. Forecast reflects net debt increasing due to leverage and buybacks.</t>
  </si>
  <si>
    <t>1 year Average share price - Sourced from Yahoo finance</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</si>
</sst>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 #,##0_);_(* \(#,##0\);_(* \-??_);_(@_)"/>
    <numFmt numFmtId="165" formatCode="_(* #,##0_);_(* \(#,##0\);_(* &quot;-&quot;??_);_(@_)"/>
    <numFmt numFmtId="166" formatCode="0.0%"/>
    <numFmt numFmtId="167" formatCode="_(* #,##0.00_);_(* \(#,##0.00\);_(* &quot;-&quot;??_);_(@_)"/>
  </numFmts>
  <fonts count="17">
    <font>
      <sz val="11.0"/>
      <color theme="1"/>
      <name val="Calibri"/>
      <scheme val="minor"/>
    </font>
    <font>
      <b/>
      <sz val="18.0"/>
      <color theme="0"/>
      <name val="Calibri"/>
    </font>
    <font>
      <b/>
      <sz val="11.0"/>
      <color theme="1"/>
      <name val="Calibri"/>
    </font>
    <font>
      <sz val="11.0"/>
      <color theme="1"/>
      <name val="Calibri"/>
    </font>
    <font>
      <b/>
      <sz val="20.0"/>
      <color theme="0"/>
      <name val="Calibri"/>
    </font>
    <font>
      <b/>
      <sz val="11.0"/>
      <color theme="0"/>
      <name val="Calibri"/>
    </font>
    <font>
      <color theme="1"/>
      <name val="Calibri"/>
      <scheme val="minor"/>
    </font>
    <font>
      <b/>
      <sz val="11.0"/>
      <color rgb="FFFF0000"/>
      <name val="Calibri"/>
    </font>
    <font>
      <i/>
      <sz val="11.0"/>
      <color theme="1"/>
      <name val="Calibri"/>
    </font>
    <font>
      <b/>
      <i/>
      <sz val="10.0"/>
      <color theme="1"/>
      <name val="Calibri"/>
    </font>
    <font>
      <b/>
      <i/>
      <sz val="11.0"/>
      <color theme="1"/>
      <name val="Calibri"/>
    </font>
    <font>
      <i/>
      <sz val="10.0"/>
      <color theme="1"/>
      <name val="Calibri"/>
    </font>
    <font>
      <i/>
      <sz val="9.0"/>
      <color theme="1"/>
      <name val="Calibri"/>
    </font>
    <font>
      <i/>
      <sz val="10.0"/>
      <color rgb="FF002060"/>
      <name val="Calibri"/>
    </font>
    <font>
      <b/>
      <sz val="16.0"/>
      <color theme="0"/>
      <name val="Calibri"/>
    </font>
    <font>
      <i/>
      <color theme="1"/>
      <name val="Calibri"/>
    </font>
    <font>
      <b/>
      <i/>
      <sz val="9.0"/>
      <color theme="1"/>
      <name val="Calibri"/>
    </font>
  </fonts>
  <fills count="8">
    <fill>
      <patternFill patternType="none"/>
    </fill>
    <fill>
      <patternFill patternType="lightGray"/>
    </fill>
    <fill>
      <patternFill patternType="solid">
        <fgColor rgb="FF002060"/>
        <bgColor rgb="FF002060"/>
      </patternFill>
    </fill>
    <fill>
      <patternFill patternType="solid">
        <fgColor rgb="FFADB9CA"/>
        <bgColor rgb="FFADB9CA"/>
      </patternFill>
    </fill>
    <fill>
      <patternFill patternType="solid">
        <fgColor rgb="FF8496B0"/>
        <bgColor rgb="FF8496B0"/>
      </patternFill>
    </fill>
    <fill>
      <patternFill patternType="solid">
        <fgColor theme="4"/>
        <bgColor theme="4"/>
      </patternFill>
    </fill>
    <fill>
      <patternFill patternType="solid">
        <fgColor rgb="FF8EAADB"/>
        <bgColor rgb="FF8EAADB"/>
      </patternFill>
    </fill>
    <fill>
      <patternFill patternType="solid">
        <fgColor rgb="FFECECEC"/>
        <bgColor rgb="FFECECEC"/>
      </patternFill>
    </fill>
  </fills>
  <borders count="8">
    <border/>
    <border>
      <left/>
      <right/>
      <top/>
      <bottom/>
    </border>
    <border>
      <bottom style="thin">
        <color rgb="FF000000"/>
      </bottom>
    </border>
    <border>
      <top style="thin">
        <color rgb="FF000000"/>
      </top>
    </border>
    <border>
      <top style="thin">
        <color rgb="FF000000"/>
      </top>
      <bottom style="double">
        <color rgb="FF000000"/>
      </bottom>
    </border>
    <border>
      <top style="thin">
        <color rgb="FF000000"/>
      </top>
      <bottom style="thin">
        <color rgb="FF000000"/>
      </bottom>
    </border>
    <border>
      <top style="thin">
        <color rgb="FF000000"/>
      </top>
      <bottom style="hair">
        <color rgb="FF000000"/>
      </bottom>
    </border>
    <border>
      <top style="hair">
        <color rgb="FF000000"/>
      </top>
      <bottom style="hair">
        <color rgb="FF000000"/>
      </bottom>
    </border>
  </borders>
  <cellStyleXfs count="1">
    <xf borderId="0" fillId="0" fontId="0" numFmtId="0" applyAlignment="1" applyFont="1"/>
  </cellStyleXfs>
  <cellXfs count="76">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0" fillId="0" fontId="2" numFmtId="0" xfId="0" applyFont="1"/>
    <xf borderId="0" fillId="0" fontId="3" numFmtId="0" xfId="0" applyFont="1"/>
    <xf borderId="0" fillId="0" fontId="3" numFmtId="0" xfId="0" applyAlignment="1" applyFont="1">
      <alignment horizontal="left"/>
    </xf>
    <xf borderId="0" fillId="0" fontId="3" numFmtId="0" xfId="0" applyAlignment="1" applyFont="1">
      <alignment shrinkToFit="0" wrapText="1"/>
    </xf>
    <xf borderId="1" fillId="2" fontId="4" numFmtId="0" xfId="0" applyAlignment="1" applyBorder="1" applyFont="1">
      <alignment shrinkToFit="0" vertical="center" wrapText="1"/>
    </xf>
    <xf borderId="1" fillId="2" fontId="5" numFmtId="0" xfId="0" applyAlignment="1" applyBorder="1" applyFont="1">
      <alignment horizontal="right"/>
    </xf>
    <xf borderId="0" fillId="0" fontId="6" numFmtId="0" xfId="0" applyFont="1"/>
    <xf borderId="0" fillId="0" fontId="3" numFmtId="164" xfId="0" applyAlignment="1" applyFont="1" applyNumberFormat="1">
      <alignment horizontal="right" vertical="bottom"/>
    </xf>
    <xf borderId="2" fillId="0" fontId="3" numFmtId="0" xfId="0" applyBorder="1" applyFont="1"/>
    <xf borderId="2" fillId="0" fontId="3" numFmtId="164" xfId="0" applyAlignment="1" applyBorder="1" applyFont="1" applyNumberFormat="1">
      <alignment horizontal="right" vertical="bottom"/>
    </xf>
    <xf borderId="0" fillId="0" fontId="2" numFmtId="164" xfId="0" applyAlignment="1" applyFont="1" applyNumberFormat="1">
      <alignment horizontal="right" vertical="bottom"/>
    </xf>
    <xf borderId="3" fillId="0" fontId="3" numFmtId="0" xfId="0" applyAlignment="1" applyBorder="1" applyFont="1">
      <alignment horizontal="left"/>
    </xf>
    <xf borderId="3" fillId="0" fontId="3" numFmtId="164" xfId="0" applyAlignment="1" applyBorder="1" applyFont="1" applyNumberFormat="1">
      <alignment horizontal="right" vertical="bottom"/>
    </xf>
    <xf borderId="0" fillId="0" fontId="3" numFmtId="165" xfId="0" applyAlignment="1" applyFont="1" applyNumberFormat="1">
      <alignment horizontal="right" vertical="bottom"/>
    </xf>
    <xf borderId="3" fillId="0" fontId="2" numFmtId="0" xfId="0" applyBorder="1" applyFont="1"/>
    <xf borderId="3" fillId="0" fontId="2" numFmtId="164" xfId="0" applyAlignment="1" applyBorder="1" applyFont="1" applyNumberFormat="1">
      <alignment horizontal="right" vertical="bottom"/>
    </xf>
    <xf borderId="4" fillId="0" fontId="2" numFmtId="0" xfId="0" applyBorder="1" applyFont="1"/>
    <xf borderId="4" fillId="0" fontId="2" numFmtId="164" xfId="0" applyAlignment="1" applyBorder="1" applyFont="1" applyNumberFormat="1">
      <alignment horizontal="right" vertical="bottom"/>
    </xf>
    <xf borderId="0" fillId="0" fontId="3" numFmtId="0" xfId="0" applyAlignment="1" applyFont="1">
      <alignment vertical="bottom"/>
    </xf>
    <xf borderId="0" fillId="0" fontId="3" numFmtId="0" xfId="0" applyAlignment="1" applyFont="1">
      <alignment horizontal="right" vertical="bottom"/>
    </xf>
    <xf borderId="0" fillId="0" fontId="3" numFmtId="3" xfId="0" applyAlignment="1" applyFont="1" applyNumberFormat="1">
      <alignment horizontal="right" vertical="bottom"/>
    </xf>
    <xf borderId="0" fillId="0" fontId="7" numFmtId="0" xfId="0" applyFont="1"/>
    <xf borderId="0" fillId="0" fontId="7" numFmtId="165" xfId="0" applyFont="1" applyNumberFormat="1"/>
    <xf borderId="1" fillId="3" fontId="2" numFmtId="0" xfId="0" applyAlignment="1" applyBorder="1" applyFill="1" applyFont="1">
      <alignment horizontal="center"/>
    </xf>
    <xf borderId="0" fillId="0" fontId="2" numFmtId="0" xfId="0" applyAlignment="1" applyFont="1">
      <alignment horizontal="left"/>
    </xf>
    <xf borderId="0" fillId="0" fontId="3" numFmtId="165" xfId="0" applyFont="1" applyNumberFormat="1"/>
    <xf borderId="0" fillId="0" fontId="3" numFmtId="165" xfId="0" applyAlignment="1" applyFont="1" applyNumberFormat="1">
      <alignment horizontal="right" shrinkToFit="0" vertical="bottom" wrapText="1"/>
    </xf>
    <xf borderId="0" fillId="0" fontId="3" numFmtId="164" xfId="0" applyAlignment="1" applyFont="1" applyNumberFormat="1">
      <alignment vertical="bottom"/>
    </xf>
    <xf borderId="0" fillId="0" fontId="3" numFmtId="165" xfId="0" applyAlignment="1" applyFont="1" applyNumberFormat="1">
      <alignment vertical="bottom"/>
    </xf>
    <xf borderId="0" fillId="0" fontId="7" numFmtId="165" xfId="0" applyAlignment="1" applyFont="1" applyNumberFormat="1">
      <alignment horizontal="right" vertical="bottom"/>
    </xf>
    <xf borderId="1" fillId="3" fontId="3" numFmtId="0" xfId="0" applyAlignment="1" applyBorder="1" applyFont="1">
      <alignment vertical="bottom"/>
    </xf>
    <xf borderId="5" fillId="0" fontId="2" numFmtId="0" xfId="0" applyAlignment="1" applyBorder="1" applyFont="1">
      <alignment horizontal="left"/>
    </xf>
    <xf borderId="5" fillId="0" fontId="2" numFmtId="165" xfId="0" applyAlignment="1" applyBorder="1" applyFont="1" applyNumberFormat="1">
      <alignment horizontal="right" vertical="bottom"/>
    </xf>
    <xf borderId="5" fillId="0" fontId="2" numFmtId="0" xfId="0" applyBorder="1" applyFont="1"/>
    <xf borderId="5" fillId="0" fontId="2" numFmtId="164" xfId="0" applyAlignment="1" applyBorder="1" applyFont="1" applyNumberFormat="1">
      <alignment horizontal="right" vertical="bottom"/>
    </xf>
    <xf borderId="0" fillId="0" fontId="3" numFmtId="0" xfId="0" applyAlignment="1" applyFont="1">
      <alignment horizontal="right" shrinkToFit="0" vertical="bottom" wrapText="1"/>
    </xf>
    <xf borderId="0" fillId="0" fontId="8" numFmtId="165" xfId="0" applyAlignment="1" applyFont="1" applyNumberFormat="1">
      <alignment horizontal="center" vertical="bottom"/>
    </xf>
    <xf borderId="0" fillId="0" fontId="3" numFmtId="0" xfId="0" applyAlignment="1" applyFont="1">
      <alignment vertical="bottom"/>
    </xf>
    <xf borderId="4" fillId="0" fontId="2" numFmtId="165" xfId="0" applyAlignment="1" applyBorder="1" applyFont="1" applyNumberFormat="1">
      <alignment horizontal="right" vertical="bottom"/>
    </xf>
    <xf borderId="0" fillId="0" fontId="9" numFmtId="0" xfId="0" applyAlignment="1" applyFont="1">
      <alignment horizontal="left"/>
    </xf>
    <xf borderId="0" fillId="0" fontId="10" numFmtId="166" xfId="0" applyAlignment="1" applyFont="1" applyNumberFormat="1">
      <alignment horizontal="right" vertical="bottom"/>
    </xf>
    <xf borderId="0" fillId="0" fontId="11" numFmtId="0" xfId="0" applyAlignment="1" applyFont="1">
      <alignment horizontal="left"/>
    </xf>
    <xf borderId="0" fillId="0" fontId="8" numFmtId="166" xfId="0" applyAlignment="1" applyFont="1" applyNumberFormat="1">
      <alignment horizontal="right" vertical="bottom"/>
    </xf>
    <xf borderId="3" fillId="0" fontId="10" numFmtId="166" xfId="0" applyAlignment="1" applyBorder="1" applyFont="1" applyNumberFormat="1">
      <alignment horizontal="right" vertical="bottom"/>
    </xf>
    <xf borderId="3" fillId="0" fontId="11" numFmtId="0" xfId="0" applyBorder="1" applyFont="1"/>
    <xf borderId="5" fillId="0" fontId="10" numFmtId="166" xfId="0" applyAlignment="1" applyBorder="1" applyFont="1" applyNumberFormat="1">
      <alignment horizontal="right" vertical="bottom"/>
    </xf>
    <xf borderId="0" fillId="0" fontId="8" numFmtId="166" xfId="0" applyAlignment="1" applyFont="1" applyNumberFormat="1">
      <alignment horizontal="center" vertical="bottom"/>
    </xf>
    <xf borderId="4" fillId="0" fontId="9" numFmtId="0" xfId="0" applyBorder="1" applyFont="1"/>
    <xf borderId="4" fillId="0" fontId="10" numFmtId="166" xfId="0" applyAlignment="1" applyBorder="1" applyFont="1" applyNumberFormat="1">
      <alignment horizontal="right" vertical="bottom"/>
    </xf>
    <xf borderId="1" fillId="4" fontId="2" numFmtId="0" xfId="0" applyBorder="1" applyFill="1" applyFont="1"/>
    <xf borderId="1" fillId="5" fontId="5" numFmtId="165" xfId="0" applyAlignment="1" applyBorder="1" applyFill="1" applyFont="1" applyNumberFormat="1">
      <alignment horizontal="left"/>
    </xf>
    <xf borderId="0" fillId="0" fontId="2" numFmtId="165" xfId="0" applyFont="1" applyNumberFormat="1"/>
    <xf borderId="0" fillId="0" fontId="12" numFmtId="165" xfId="0" applyAlignment="1" applyFont="1" applyNumberFormat="1">
      <alignment horizontal="left"/>
    </xf>
    <xf borderId="0" fillId="0" fontId="2" numFmtId="3" xfId="0" applyAlignment="1" applyFont="1" applyNumberFormat="1">
      <alignment horizontal="right" vertical="bottom"/>
    </xf>
    <xf borderId="1" fillId="6" fontId="2" numFmtId="165" xfId="0" applyBorder="1" applyFill="1" applyFont="1" applyNumberFormat="1"/>
    <xf borderId="0" fillId="0" fontId="11" numFmtId="166" xfId="0" applyAlignment="1" applyFont="1" applyNumberFormat="1">
      <alignment horizontal="right"/>
    </xf>
    <xf borderId="0" fillId="0" fontId="3" numFmtId="165" xfId="0" applyAlignment="1" applyFont="1" applyNumberFormat="1">
      <alignment horizontal="left"/>
    </xf>
    <xf borderId="1" fillId="7" fontId="13" numFmtId="166" xfId="0" applyBorder="1" applyFill="1" applyFont="1" applyNumberFormat="1"/>
    <xf borderId="1" fillId="2" fontId="14" numFmtId="0" xfId="0" applyAlignment="1" applyBorder="1" applyFont="1">
      <alignment horizontal="center"/>
    </xf>
    <xf borderId="0" fillId="0" fontId="2" numFmtId="165" xfId="0" applyAlignment="1" applyFont="1" applyNumberFormat="1">
      <alignment horizontal="right" vertical="bottom"/>
    </xf>
    <xf borderId="0" fillId="0" fontId="15" numFmtId="166" xfId="0" applyAlignment="1" applyFont="1" applyNumberFormat="1">
      <alignment horizontal="right" vertical="bottom"/>
    </xf>
    <xf borderId="0" fillId="0" fontId="6" numFmtId="0" xfId="0" applyAlignment="1" applyFont="1">
      <alignment readingOrder="0"/>
    </xf>
    <xf borderId="0" fillId="0" fontId="12" numFmtId="166" xfId="0" applyAlignment="1" applyFont="1" applyNumberFormat="1">
      <alignment horizontal="right" vertical="bottom"/>
    </xf>
    <xf borderId="6" fillId="0" fontId="2" numFmtId="164" xfId="0" applyAlignment="1" applyBorder="1" applyFont="1" applyNumberFormat="1">
      <alignment horizontal="right" vertical="bottom"/>
    </xf>
    <xf borderId="0" fillId="0" fontId="3" numFmtId="4" xfId="0" applyAlignment="1" applyFont="1" applyNumberFormat="1">
      <alignment horizontal="right" vertical="bottom"/>
    </xf>
    <xf borderId="0" fillId="0" fontId="3" numFmtId="2" xfId="0" applyAlignment="1" applyFont="1" applyNumberFormat="1">
      <alignment horizontal="right" vertical="bottom"/>
    </xf>
    <xf borderId="1" fillId="5" fontId="5" numFmtId="0" xfId="0" applyBorder="1" applyFont="1"/>
    <xf borderId="0" fillId="0" fontId="16" numFmtId="166" xfId="0" applyAlignment="1" applyFont="1" applyNumberFormat="1">
      <alignment horizontal="right" vertical="bottom"/>
    </xf>
    <xf borderId="0" fillId="0" fontId="3" numFmtId="3" xfId="0" applyAlignment="1" applyFont="1" applyNumberFormat="1">
      <alignment vertical="bottom"/>
    </xf>
    <xf borderId="7" fillId="0" fontId="2" numFmtId="3" xfId="0" applyAlignment="1" applyBorder="1" applyFont="1" applyNumberFormat="1">
      <alignment horizontal="right" vertical="bottom"/>
    </xf>
    <xf borderId="5" fillId="0" fontId="2" numFmtId="3" xfId="0" applyAlignment="1" applyBorder="1" applyFont="1" applyNumberFormat="1">
      <alignment horizontal="right" vertical="bottom"/>
    </xf>
    <xf borderId="0" fillId="0" fontId="7" numFmtId="167" xfId="0" applyFont="1" applyNumberFormat="1"/>
    <xf borderId="0" fillId="0" fontId="3" numFmtId="166" xfId="0" applyAlignment="1" applyFont="1" applyNumberFormat="1">
      <alignment vertical="bottom"/>
    </xf>
    <xf borderId="0" fillId="0" fontId="3" numFmtId="2" xfId="0" applyFont="1" applyNumberForma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6.14"/>
    <col customWidth="1" min="2" max="26" width="8.71"/>
  </cols>
  <sheetData>
    <row r="1" ht="14.25" customHeight="1">
      <c r="A1" s="1" t="s">
        <v>0</v>
      </c>
    </row>
    <row r="2" ht="14.25" customHeight="1">
      <c r="A2" s="2" t="s">
        <v>1</v>
      </c>
    </row>
    <row r="3" ht="14.25" customHeight="1">
      <c r="A3" s="3" t="s">
        <v>2</v>
      </c>
    </row>
    <row r="4" ht="14.25" customHeight="1">
      <c r="A4" s="3" t="s">
        <v>3</v>
      </c>
    </row>
    <row r="5" ht="14.25" customHeight="1">
      <c r="A5" s="3" t="s">
        <v>4</v>
      </c>
    </row>
    <row r="6" ht="14.25" customHeight="1">
      <c r="A6" s="3" t="s">
        <v>5</v>
      </c>
    </row>
    <row r="7" ht="14.25" customHeight="1">
      <c r="A7" s="3" t="s">
        <v>6</v>
      </c>
      <c r="B7" s="3"/>
      <c r="C7" s="3"/>
      <c r="D7" s="3"/>
      <c r="E7" s="3"/>
      <c r="F7" s="3"/>
      <c r="G7" s="3"/>
      <c r="H7" s="3"/>
      <c r="I7" s="3"/>
      <c r="J7" s="3"/>
      <c r="K7" s="3"/>
      <c r="L7" s="3"/>
      <c r="M7" s="3"/>
      <c r="N7" s="3"/>
      <c r="O7" s="3"/>
      <c r="P7" s="3"/>
      <c r="Q7" s="3"/>
      <c r="R7" s="3"/>
      <c r="S7" s="3"/>
      <c r="T7" s="3"/>
      <c r="U7" s="3"/>
      <c r="V7" s="3"/>
      <c r="W7" s="3"/>
      <c r="X7" s="3"/>
      <c r="Y7" s="3"/>
      <c r="Z7" s="3"/>
    </row>
    <row r="8" ht="14.25" customHeight="1">
      <c r="A8" s="4" t="s">
        <v>7</v>
      </c>
    </row>
    <row r="9" ht="14.25" customHeight="1">
      <c r="A9" s="3" t="s">
        <v>8</v>
      </c>
    </row>
    <row r="10" ht="14.25" customHeight="1">
      <c r="A10" s="3"/>
      <c r="B10" s="3"/>
      <c r="C10" s="3"/>
      <c r="D10" s="3"/>
      <c r="E10" s="3"/>
      <c r="F10" s="3"/>
      <c r="G10" s="3"/>
      <c r="H10" s="3"/>
      <c r="I10" s="3"/>
      <c r="J10" s="3"/>
      <c r="K10" s="3"/>
      <c r="L10" s="3"/>
      <c r="M10" s="3"/>
      <c r="N10" s="3"/>
      <c r="O10" s="3"/>
      <c r="P10" s="3"/>
      <c r="Q10" s="3"/>
      <c r="R10" s="3"/>
      <c r="S10" s="3"/>
      <c r="T10" s="3"/>
      <c r="U10" s="3"/>
      <c r="V10" s="3"/>
      <c r="W10" s="3"/>
      <c r="X10" s="3"/>
      <c r="Y10" s="3"/>
      <c r="Z10" s="3"/>
    </row>
    <row r="11" ht="14.25" customHeight="1">
      <c r="A11" s="3" t="s">
        <v>9</v>
      </c>
    </row>
    <row r="12" ht="14.25" customHeight="1">
      <c r="A12" s="3" t="s">
        <v>10</v>
      </c>
    </row>
    <row r="13" ht="14.25" customHeight="1">
      <c r="A13" s="3"/>
    </row>
    <row r="14" ht="14.25" customHeight="1">
      <c r="A14" s="3"/>
    </row>
    <row r="15" ht="14.25" customHeight="1">
      <c r="A15" s="3"/>
    </row>
    <row r="16" ht="14.25" customHeight="1">
      <c r="A16" s="3"/>
    </row>
    <row r="17" ht="14.25" customHeight="1">
      <c r="A17" s="3"/>
    </row>
    <row r="18" ht="14.25" customHeight="1">
      <c r="A18" s="3"/>
    </row>
    <row r="19" ht="14.25" customHeight="1">
      <c r="A19" s="3"/>
    </row>
    <row r="20" ht="14.25" customHeight="1">
      <c r="A20" s="3"/>
    </row>
    <row r="21" ht="14.25" customHeight="1">
      <c r="A21" s="3"/>
    </row>
    <row r="22" ht="14.25" customHeight="1">
      <c r="A22" s="3"/>
    </row>
    <row r="23" ht="14.25" customHeight="1">
      <c r="A23" s="3"/>
    </row>
    <row r="24" ht="14.25" customHeight="1">
      <c r="A24" s="5"/>
    </row>
    <row r="25" ht="14.25" customHeight="1">
      <c r="A25" s="5"/>
    </row>
    <row r="26" ht="14.25" customHeight="1">
      <c r="A26" s="5"/>
    </row>
    <row r="27" ht="14.25" customHeight="1">
      <c r="A27" s="5"/>
    </row>
    <row r="28" ht="14.25" customHeight="1">
      <c r="A28" s="5"/>
    </row>
    <row r="29" ht="14.25" customHeight="1">
      <c r="A29" s="5"/>
    </row>
    <row r="30" ht="14.25" customHeight="1">
      <c r="A30" s="5"/>
    </row>
    <row r="31" ht="14.25" customHeight="1">
      <c r="A31" s="5"/>
    </row>
    <row r="32" ht="14.25" customHeight="1">
      <c r="A32" s="5"/>
    </row>
    <row r="33" ht="14.25" customHeight="1">
      <c r="A33" s="5"/>
    </row>
    <row r="34" ht="14.25" customHeight="1">
      <c r="A34" s="5"/>
    </row>
    <row r="35" ht="14.25" customHeight="1">
      <c r="A35" s="5"/>
    </row>
    <row r="36" ht="14.25" customHeight="1">
      <c r="A36" s="5"/>
    </row>
    <row r="37" ht="14.25" customHeight="1">
      <c r="A37" s="5"/>
    </row>
    <row r="38" ht="14.25" customHeight="1">
      <c r="A38" s="5"/>
    </row>
    <row r="39" ht="14.25" customHeight="1">
      <c r="A39" s="5"/>
    </row>
    <row r="40" ht="14.25" customHeight="1">
      <c r="A40" s="5"/>
    </row>
    <row r="41" ht="14.25" customHeight="1">
      <c r="A41" s="5"/>
    </row>
    <row r="42" ht="14.25" customHeight="1">
      <c r="A42" s="5"/>
    </row>
    <row r="43" ht="14.25" customHeight="1">
      <c r="A43" s="5"/>
    </row>
    <row r="44" ht="14.25" customHeight="1">
      <c r="A44" s="5"/>
    </row>
    <row r="45" ht="14.25" customHeight="1">
      <c r="A45" s="5"/>
    </row>
    <row r="46" ht="14.25" customHeight="1">
      <c r="A46" s="5"/>
    </row>
    <row r="47" ht="14.25" customHeight="1">
      <c r="A47" s="5"/>
    </row>
    <row r="48" ht="14.25" customHeight="1">
      <c r="A48" s="5"/>
    </row>
    <row r="49" ht="14.25" customHeight="1">
      <c r="A49" s="5"/>
    </row>
    <row r="50" ht="14.25" customHeight="1">
      <c r="A50" s="5"/>
    </row>
    <row r="51" ht="14.25" customHeight="1">
      <c r="A51" s="5"/>
    </row>
    <row r="52" ht="14.25" customHeight="1">
      <c r="A52" s="5"/>
    </row>
    <row r="53" ht="14.25" customHeight="1">
      <c r="A53" s="5"/>
    </row>
    <row r="54" ht="14.25" customHeight="1">
      <c r="A54" s="5"/>
    </row>
    <row r="55" ht="14.25" customHeight="1">
      <c r="A55" s="5"/>
    </row>
    <row r="56" ht="14.25" customHeight="1">
      <c r="A56" s="5"/>
    </row>
    <row r="57" ht="14.25" customHeight="1">
      <c r="A57" s="5"/>
    </row>
    <row r="58" ht="14.25" customHeight="1">
      <c r="A58" s="5"/>
    </row>
    <row r="59" ht="14.25" customHeight="1">
      <c r="A59" s="5"/>
    </row>
    <row r="60" ht="14.25" customHeight="1">
      <c r="A60" s="5"/>
    </row>
    <row r="61" ht="14.25" customHeight="1">
      <c r="A61" s="5"/>
    </row>
    <row r="62" ht="14.25" customHeight="1">
      <c r="A62" s="5"/>
    </row>
    <row r="63" ht="14.25" customHeight="1">
      <c r="A63" s="5"/>
    </row>
    <row r="64" ht="14.25" customHeight="1">
      <c r="A64" s="5"/>
    </row>
    <row r="65" ht="14.25" customHeight="1">
      <c r="A65" s="5"/>
    </row>
    <row r="66" ht="14.25" customHeight="1">
      <c r="A66" s="5"/>
    </row>
    <row r="67" ht="14.25" customHeight="1">
      <c r="A67" s="5"/>
    </row>
    <row r="68" ht="14.25" customHeight="1">
      <c r="A68" s="5"/>
    </row>
    <row r="69" ht="14.25" customHeight="1">
      <c r="A69" s="5"/>
    </row>
    <row r="70" ht="14.25" customHeight="1">
      <c r="A70" s="5"/>
    </row>
    <row r="71" ht="14.25" customHeight="1">
      <c r="A71" s="5"/>
    </row>
    <row r="72" ht="14.25" customHeight="1">
      <c r="A72" s="5"/>
    </row>
    <row r="73" ht="14.25" customHeight="1">
      <c r="A73" s="5"/>
    </row>
    <row r="74" ht="14.25" customHeight="1">
      <c r="A74" s="5"/>
    </row>
    <row r="75" ht="14.25" customHeight="1">
      <c r="A75" s="5"/>
    </row>
    <row r="76" ht="14.25" customHeight="1">
      <c r="A76" s="5"/>
    </row>
    <row r="77" ht="14.25" customHeight="1">
      <c r="A77" s="5"/>
    </row>
    <row r="78" ht="14.25" customHeight="1">
      <c r="A78" s="5"/>
    </row>
    <row r="79" ht="14.25" customHeight="1">
      <c r="A79" s="5"/>
    </row>
    <row r="80" ht="14.25" customHeight="1">
      <c r="A80" s="5"/>
    </row>
    <row r="81" ht="14.25" customHeight="1">
      <c r="A81" s="5"/>
    </row>
    <row r="82" ht="14.25" customHeight="1">
      <c r="A82" s="5"/>
    </row>
    <row r="83" ht="14.25" customHeight="1">
      <c r="A83" s="5"/>
    </row>
    <row r="84" ht="14.25" customHeight="1">
      <c r="A84" s="5"/>
    </row>
    <row r="85" ht="14.25" customHeight="1">
      <c r="A85" s="5"/>
    </row>
    <row r="86" ht="14.25" customHeight="1">
      <c r="A86" s="5"/>
    </row>
    <row r="87" ht="14.25" customHeight="1">
      <c r="A87" s="5"/>
    </row>
    <row r="88" ht="14.25" customHeight="1">
      <c r="A88" s="5"/>
    </row>
    <row r="89" ht="14.25" customHeight="1">
      <c r="A89" s="5"/>
    </row>
    <row r="90" ht="14.25" customHeight="1">
      <c r="A90" s="5"/>
    </row>
    <row r="91" ht="14.25" customHeight="1">
      <c r="A91" s="5"/>
    </row>
    <row r="92" ht="14.25" customHeight="1">
      <c r="A92" s="5"/>
    </row>
    <row r="93" ht="14.25" customHeight="1">
      <c r="A93" s="5"/>
    </row>
    <row r="94" ht="14.25" customHeight="1">
      <c r="A94" s="5"/>
    </row>
    <row r="95" ht="14.25" customHeight="1">
      <c r="A95" s="5"/>
    </row>
    <row r="96" ht="14.25" customHeight="1">
      <c r="A96" s="5"/>
    </row>
    <row r="97" ht="14.25" customHeight="1">
      <c r="A97" s="5"/>
    </row>
    <row r="98" ht="14.25" customHeight="1">
      <c r="A98" s="5"/>
    </row>
    <row r="99" ht="14.25" customHeight="1">
      <c r="A99" s="5"/>
    </row>
    <row r="100" ht="14.25" customHeight="1">
      <c r="A100" s="5"/>
    </row>
    <row r="101" ht="14.25" customHeight="1">
      <c r="A101" s="5"/>
    </row>
    <row r="102" ht="14.25" customHeight="1">
      <c r="A102" s="5"/>
    </row>
    <row r="103" ht="14.25" customHeight="1">
      <c r="A103" s="5"/>
    </row>
    <row r="104" ht="14.25" customHeight="1">
      <c r="A104" s="5"/>
    </row>
    <row r="105" ht="14.25" customHeight="1">
      <c r="A105" s="5"/>
    </row>
    <row r="106" ht="14.25" customHeight="1">
      <c r="A106" s="5"/>
    </row>
    <row r="107" ht="14.25" customHeight="1">
      <c r="A107" s="5"/>
    </row>
    <row r="108" ht="14.25" customHeight="1">
      <c r="A108" s="5"/>
    </row>
    <row r="109" ht="14.25" customHeight="1">
      <c r="A109" s="5"/>
    </row>
    <row r="110" ht="14.25" customHeight="1">
      <c r="A110" s="5"/>
    </row>
    <row r="111" ht="14.25" customHeight="1">
      <c r="A111" s="5"/>
    </row>
    <row r="112" ht="14.25" customHeight="1">
      <c r="A112" s="5"/>
    </row>
    <row r="113" ht="14.25" customHeight="1">
      <c r="A113" s="5"/>
    </row>
    <row r="114" ht="14.25" customHeight="1">
      <c r="A114" s="5"/>
    </row>
    <row r="115" ht="14.25" customHeight="1">
      <c r="A115" s="5"/>
    </row>
    <row r="116" ht="14.25" customHeight="1">
      <c r="A116" s="5"/>
    </row>
    <row r="117" ht="14.25" customHeight="1">
      <c r="A117" s="5"/>
    </row>
    <row r="118" ht="14.25" customHeight="1">
      <c r="A118" s="5"/>
    </row>
    <row r="119" ht="14.25" customHeight="1">
      <c r="A119" s="5"/>
    </row>
    <row r="120" ht="14.25" customHeight="1">
      <c r="A120" s="5"/>
    </row>
    <row r="121" ht="14.25" customHeight="1">
      <c r="A121" s="5"/>
    </row>
    <row r="122" ht="14.25" customHeight="1">
      <c r="A122" s="5"/>
    </row>
    <row r="123" ht="14.25" customHeight="1">
      <c r="A123" s="5"/>
    </row>
    <row r="124" ht="14.25" customHeight="1">
      <c r="A124" s="5"/>
    </row>
    <row r="125" ht="14.25" customHeight="1">
      <c r="A125" s="5"/>
    </row>
    <row r="126" ht="14.25" customHeight="1">
      <c r="A126" s="5"/>
    </row>
    <row r="127" ht="14.25" customHeight="1">
      <c r="A127" s="5"/>
    </row>
    <row r="128" ht="14.25" customHeight="1">
      <c r="A128" s="5"/>
    </row>
    <row r="129" ht="14.25" customHeight="1">
      <c r="A129" s="5"/>
    </row>
    <row r="130" ht="14.25" customHeight="1">
      <c r="A130" s="5"/>
    </row>
    <row r="131" ht="14.25" customHeight="1">
      <c r="A131" s="5"/>
    </row>
    <row r="132" ht="14.25" customHeight="1">
      <c r="A132" s="5"/>
    </row>
    <row r="133" ht="14.25" customHeight="1">
      <c r="A133" s="5"/>
    </row>
    <row r="134" ht="14.25" customHeight="1">
      <c r="A134" s="5"/>
    </row>
    <row r="135" ht="14.25" customHeight="1">
      <c r="A135" s="5"/>
    </row>
    <row r="136" ht="14.25" customHeight="1">
      <c r="A136" s="5"/>
    </row>
    <row r="137" ht="14.25" customHeight="1">
      <c r="A137" s="5"/>
    </row>
    <row r="138" ht="14.25" customHeight="1">
      <c r="A138" s="5"/>
    </row>
    <row r="139" ht="14.25" customHeight="1">
      <c r="A139" s="5"/>
    </row>
    <row r="140" ht="14.25" customHeight="1">
      <c r="A140" s="5"/>
    </row>
    <row r="141" ht="14.25" customHeight="1">
      <c r="A141" s="5"/>
    </row>
    <row r="142" ht="14.25" customHeight="1">
      <c r="A142" s="5"/>
    </row>
    <row r="143" ht="14.25" customHeight="1">
      <c r="A143" s="5"/>
    </row>
    <row r="144" ht="14.25" customHeight="1">
      <c r="A144" s="5"/>
    </row>
    <row r="145" ht="14.25" customHeight="1">
      <c r="A145" s="5"/>
    </row>
    <row r="146" ht="14.25" customHeight="1">
      <c r="A146" s="5"/>
    </row>
    <row r="147" ht="14.25" customHeight="1">
      <c r="A147" s="5"/>
    </row>
    <row r="148" ht="14.25" customHeight="1">
      <c r="A148" s="5"/>
    </row>
    <row r="149" ht="14.25" customHeight="1">
      <c r="A149" s="5"/>
    </row>
    <row r="150" ht="14.25" customHeight="1">
      <c r="A150" s="5"/>
    </row>
    <row r="151" ht="14.25" customHeight="1">
      <c r="A151" s="5"/>
    </row>
    <row r="152" ht="14.25" customHeight="1">
      <c r="A152" s="5"/>
    </row>
    <row r="153" ht="14.25" customHeight="1">
      <c r="A153" s="5"/>
    </row>
    <row r="154" ht="14.25" customHeight="1">
      <c r="A154" s="5"/>
    </row>
    <row r="155" ht="14.25" customHeight="1">
      <c r="A155" s="5"/>
    </row>
    <row r="156" ht="14.25" customHeight="1">
      <c r="A156" s="5"/>
    </row>
    <row r="157" ht="14.25" customHeight="1">
      <c r="A157" s="5"/>
    </row>
    <row r="158" ht="14.25" customHeight="1">
      <c r="A158" s="5"/>
    </row>
    <row r="159" ht="14.25" customHeight="1">
      <c r="A159" s="5"/>
    </row>
    <row r="160" ht="14.25" customHeight="1">
      <c r="A160" s="5"/>
    </row>
    <row r="161" ht="14.25" customHeight="1">
      <c r="A161" s="5"/>
    </row>
    <row r="162" ht="14.25" customHeight="1">
      <c r="A162" s="5"/>
    </row>
    <row r="163" ht="14.25" customHeight="1">
      <c r="A163" s="5"/>
    </row>
    <row r="164" ht="14.25" customHeight="1">
      <c r="A164" s="5"/>
    </row>
    <row r="165" ht="14.25" customHeight="1">
      <c r="A165" s="5"/>
    </row>
    <row r="166" ht="14.25" customHeight="1">
      <c r="A166" s="5"/>
    </row>
    <row r="167" ht="14.25" customHeight="1">
      <c r="A167" s="5"/>
    </row>
    <row r="168" ht="14.25" customHeight="1">
      <c r="A168" s="5"/>
    </row>
    <row r="169" ht="14.25" customHeight="1">
      <c r="A169" s="5"/>
    </row>
    <row r="170" ht="14.25" customHeight="1">
      <c r="A170" s="5"/>
    </row>
    <row r="171" ht="14.25" customHeight="1">
      <c r="A171" s="5"/>
    </row>
    <row r="172" ht="14.25" customHeight="1">
      <c r="A172" s="5"/>
    </row>
    <row r="173" ht="14.25" customHeight="1">
      <c r="A173" s="5"/>
    </row>
    <row r="174" ht="14.25" customHeight="1">
      <c r="A174" s="5"/>
    </row>
    <row r="175" ht="14.25" customHeight="1">
      <c r="A175" s="5"/>
    </row>
    <row r="176" ht="14.25" customHeight="1">
      <c r="A176" s="5"/>
    </row>
    <row r="177" ht="14.25" customHeight="1">
      <c r="A177" s="5"/>
    </row>
    <row r="178" ht="14.25" customHeight="1">
      <c r="A178" s="5"/>
    </row>
    <row r="179" ht="14.25" customHeight="1">
      <c r="A179" s="5"/>
    </row>
    <row r="180" ht="14.25" customHeight="1">
      <c r="A180" s="5"/>
    </row>
    <row r="181" ht="14.25" customHeight="1">
      <c r="A181" s="5"/>
    </row>
    <row r="182" ht="14.25" customHeight="1">
      <c r="A182" s="5"/>
    </row>
    <row r="183" ht="14.25" customHeight="1">
      <c r="A183" s="5"/>
    </row>
    <row r="184" ht="14.25" customHeight="1">
      <c r="A184" s="5"/>
    </row>
    <row r="185" ht="14.25" customHeight="1">
      <c r="A185" s="5"/>
    </row>
    <row r="186" ht="14.25" customHeight="1">
      <c r="A186" s="5"/>
    </row>
    <row r="187" ht="14.25" customHeight="1">
      <c r="A187" s="5"/>
    </row>
    <row r="188" ht="14.25" customHeight="1">
      <c r="A188" s="5"/>
    </row>
    <row r="189" ht="14.25" customHeight="1">
      <c r="A189" s="5"/>
    </row>
    <row r="190" ht="14.25" customHeight="1">
      <c r="A190" s="5"/>
    </row>
    <row r="191" ht="14.25" customHeight="1">
      <c r="A191" s="5"/>
    </row>
    <row r="192" ht="14.25" customHeight="1">
      <c r="A192" s="5"/>
    </row>
    <row r="193" ht="14.25" customHeight="1">
      <c r="A193" s="5"/>
    </row>
    <row r="194" ht="14.25" customHeight="1">
      <c r="A194" s="5"/>
    </row>
    <row r="195" ht="14.25" customHeight="1">
      <c r="A195" s="5"/>
    </row>
    <row r="196" ht="14.25" customHeight="1">
      <c r="A196" s="5"/>
    </row>
    <row r="197" ht="14.25" customHeight="1">
      <c r="A197" s="5"/>
    </row>
    <row r="198" ht="14.25" customHeight="1">
      <c r="A198" s="5"/>
    </row>
    <row r="199" ht="14.25" customHeight="1">
      <c r="A199" s="5"/>
    </row>
    <row r="200" ht="14.25" customHeight="1">
      <c r="A200" s="5"/>
    </row>
    <row r="201" ht="14.25" customHeight="1">
      <c r="A201" s="5"/>
    </row>
    <row r="202" ht="14.25" customHeight="1">
      <c r="A202" s="5"/>
    </row>
    <row r="203" ht="14.25" customHeight="1">
      <c r="A203" s="5"/>
    </row>
    <row r="204" ht="14.25" customHeight="1">
      <c r="A204" s="5"/>
    </row>
    <row r="205" ht="14.25" customHeight="1">
      <c r="A205" s="5"/>
    </row>
    <row r="206" ht="14.25" customHeight="1">
      <c r="A206" s="5"/>
    </row>
    <row r="207" ht="14.25" customHeight="1">
      <c r="A207" s="5"/>
    </row>
    <row r="208" ht="14.25" customHeight="1">
      <c r="A208" s="5"/>
    </row>
    <row r="209" ht="14.25" customHeight="1">
      <c r="A209" s="5"/>
    </row>
    <row r="210" ht="14.25" customHeight="1">
      <c r="A210" s="5"/>
    </row>
    <row r="211" ht="14.25" customHeight="1">
      <c r="A211" s="5"/>
    </row>
    <row r="212" ht="14.25" customHeight="1">
      <c r="A212" s="5"/>
    </row>
    <row r="213" ht="14.25" customHeight="1">
      <c r="A213" s="5"/>
    </row>
    <row r="214" ht="14.25" customHeight="1">
      <c r="A214" s="5"/>
    </row>
    <row r="215" ht="14.25" customHeight="1">
      <c r="A215" s="5"/>
    </row>
    <row r="216" ht="14.25" customHeight="1">
      <c r="A216" s="5"/>
    </row>
    <row r="217" ht="14.25" customHeight="1">
      <c r="A217" s="5"/>
    </row>
    <row r="218" ht="14.25" customHeight="1">
      <c r="A218" s="5"/>
    </row>
    <row r="219" ht="14.25" customHeight="1">
      <c r="A219" s="5"/>
    </row>
    <row r="220" ht="14.25" customHeight="1">
      <c r="A220" s="5"/>
    </row>
    <row r="221" ht="14.25" customHeight="1">
      <c r="A221" s="5"/>
    </row>
    <row r="222" ht="14.25" customHeight="1">
      <c r="A222" s="5"/>
    </row>
    <row r="223" ht="14.25" customHeight="1">
      <c r="A223" s="5"/>
    </row>
    <row r="224" ht="14.25" customHeight="1">
      <c r="A224" s="5"/>
    </row>
    <row r="225" ht="14.25" customHeight="1">
      <c r="A225" s="5"/>
    </row>
    <row r="226" ht="14.25" customHeight="1">
      <c r="A226" s="5"/>
    </row>
    <row r="227" ht="14.25" customHeight="1">
      <c r="A227" s="5"/>
    </row>
    <row r="228" ht="14.25" customHeight="1">
      <c r="A228" s="5"/>
    </row>
    <row r="229" ht="14.25" customHeight="1">
      <c r="A229" s="5"/>
    </row>
    <row r="230" ht="14.25" customHeight="1">
      <c r="A230" s="5"/>
    </row>
    <row r="231" ht="14.25" customHeight="1">
      <c r="A231" s="5"/>
    </row>
    <row r="232" ht="14.25" customHeight="1">
      <c r="A232" s="5"/>
    </row>
    <row r="233" ht="14.25" customHeight="1">
      <c r="A233" s="5"/>
    </row>
    <row r="234" ht="14.25" customHeight="1">
      <c r="A234" s="5"/>
    </row>
    <row r="235" ht="14.25" customHeight="1">
      <c r="A235" s="5"/>
    </row>
    <row r="236" ht="14.25" customHeight="1">
      <c r="A236" s="5"/>
    </row>
    <row r="237" ht="14.25" customHeight="1">
      <c r="A237" s="5"/>
    </row>
    <row r="238" ht="14.25" customHeight="1">
      <c r="A238" s="5"/>
    </row>
    <row r="239" ht="14.25" customHeight="1">
      <c r="A239" s="5"/>
    </row>
    <row r="240" ht="14.25" customHeight="1">
      <c r="A240" s="5"/>
    </row>
    <row r="241" ht="14.25" customHeight="1">
      <c r="A241" s="5"/>
    </row>
    <row r="242" ht="14.25" customHeight="1">
      <c r="A242" s="5"/>
    </row>
    <row r="243" ht="14.25" customHeight="1">
      <c r="A243" s="5"/>
    </row>
    <row r="244" ht="14.25" customHeight="1">
      <c r="A244" s="5"/>
    </row>
    <row r="245" ht="14.25" customHeight="1">
      <c r="A245" s="5"/>
    </row>
    <row r="246" ht="14.25" customHeight="1">
      <c r="A246" s="5"/>
    </row>
    <row r="247" ht="14.25" customHeight="1">
      <c r="A247" s="5"/>
    </row>
    <row r="248" ht="14.25" customHeight="1">
      <c r="A248" s="5"/>
    </row>
    <row r="249" ht="14.25" customHeight="1">
      <c r="A249" s="5"/>
    </row>
    <row r="250" ht="14.25" customHeight="1">
      <c r="A250" s="5"/>
    </row>
    <row r="251" ht="14.25" customHeight="1">
      <c r="A251" s="5"/>
    </row>
    <row r="252" ht="14.25" customHeight="1">
      <c r="A252" s="5"/>
    </row>
    <row r="253" ht="14.25" customHeight="1">
      <c r="A253" s="5"/>
    </row>
    <row r="254" ht="14.25" customHeight="1">
      <c r="A254" s="5"/>
    </row>
    <row r="255" ht="14.25" customHeight="1">
      <c r="A255" s="5"/>
    </row>
    <row r="256" ht="14.25" customHeight="1">
      <c r="A256" s="5"/>
    </row>
    <row r="257" ht="14.25" customHeight="1">
      <c r="A257" s="5"/>
    </row>
    <row r="258" ht="14.25" customHeight="1">
      <c r="A258" s="5"/>
    </row>
    <row r="259" ht="14.25" customHeight="1">
      <c r="A259" s="5"/>
    </row>
    <row r="260" ht="14.25" customHeight="1">
      <c r="A260" s="5"/>
    </row>
    <row r="261" ht="14.25" customHeight="1">
      <c r="A261" s="5"/>
    </row>
    <row r="262" ht="14.25" customHeight="1">
      <c r="A262" s="5"/>
    </row>
    <row r="263" ht="14.25" customHeight="1">
      <c r="A263" s="5"/>
    </row>
    <row r="264" ht="14.25" customHeight="1">
      <c r="A264" s="5"/>
    </row>
    <row r="265" ht="14.25" customHeight="1">
      <c r="A265" s="5"/>
    </row>
    <row r="266" ht="14.25" customHeight="1">
      <c r="A266" s="5"/>
    </row>
    <row r="267" ht="14.25" customHeight="1">
      <c r="A267" s="5"/>
    </row>
    <row r="268" ht="14.25" customHeight="1">
      <c r="A268" s="5"/>
    </row>
    <row r="269" ht="14.25" customHeight="1">
      <c r="A269" s="5"/>
    </row>
    <row r="270" ht="14.25" customHeight="1">
      <c r="A270" s="5"/>
    </row>
    <row r="271" ht="14.25" customHeight="1">
      <c r="A271" s="5"/>
    </row>
    <row r="272" ht="14.25" customHeight="1">
      <c r="A272" s="5"/>
    </row>
    <row r="273" ht="14.25" customHeight="1">
      <c r="A273" s="5"/>
    </row>
    <row r="274" ht="14.25" customHeight="1">
      <c r="A274" s="5"/>
    </row>
    <row r="275" ht="14.25" customHeight="1">
      <c r="A275" s="5"/>
    </row>
    <row r="276" ht="14.25" customHeight="1">
      <c r="A276" s="5"/>
    </row>
    <row r="277" ht="14.25" customHeight="1">
      <c r="A277" s="5"/>
    </row>
    <row r="278" ht="14.25" customHeight="1">
      <c r="A278" s="5"/>
    </row>
    <row r="279" ht="14.25" customHeight="1">
      <c r="A279" s="5"/>
    </row>
    <row r="280" ht="14.25" customHeight="1">
      <c r="A280" s="5"/>
    </row>
    <row r="281" ht="14.25" customHeight="1">
      <c r="A281" s="5"/>
    </row>
    <row r="282" ht="14.25" customHeight="1">
      <c r="A282" s="5"/>
    </row>
    <row r="283" ht="14.25" customHeight="1">
      <c r="A283" s="5"/>
    </row>
    <row r="284" ht="14.25" customHeight="1">
      <c r="A284" s="5"/>
    </row>
    <row r="285" ht="14.25" customHeight="1">
      <c r="A285" s="5"/>
    </row>
    <row r="286" ht="14.25" customHeight="1">
      <c r="A286" s="5"/>
    </row>
    <row r="287" ht="14.25" customHeight="1">
      <c r="A287" s="5"/>
    </row>
    <row r="288" ht="14.25" customHeight="1">
      <c r="A288" s="5"/>
    </row>
    <row r="289" ht="14.25" customHeight="1">
      <c r="A289" s="5"/>
    </row>
    <row r="290" ht="14.25" customHeight="1">
      <c r="A290" s="5"/>
    </row>
    <row r="291" ht="14.25" customHeight="1">
      <c r="A291" s="5"/>
    </row>
    <row r="292" ht="14.25" customHeight="1">
      <c r="A292" s="5"/>
    </row>
    <row r="293" ht="14.25" customHeight="1">
      <c r="A293" s="5"/>
    </row>
    <row r="294" ht="14.25" customHeight="1">
      <c r="A294" s="5"/>
    </row>
    <row r="295" ht="14.25" customHeight="1">
      <c r="A295" s="5"/>
    </row>
    <row r="296" ht="14.25" customHeight="1">
      <c r="A296" s="5"/>
    </row>
    <row r="297" ht="14.25" customHeight="1">
      <c r="A297" s="5"/>
    </row>
    <row r="298" ht="14.25" customHeight="1">
      <c r="A298" s="5"/>
    </row>
    <row r="299" ht="14.25" customHeight="1">
      <c r="A299" s="5"/>
    </row>
    <row r="300" ht="14.25" customHeight="1">
      <c r="A300" s="5"/>
    </row>
    <row r="301" ht="14.25" customHeight="1">
      <c r="A301" s="5"/>
    </row>
    <row r="302" ht="14.25" customHeight="1">
      <c r="A302" s="5"/>
    </row>
    <row r="303" ht="14.25" customHeight="1">
      <c r="A303" s="5"/>
    </row>
    <row r="304" ht="14.25" customHeight="1">
      <c r="A304" s="5"/>
    </row>
    <row r="305" ht="14.25" customHeight="1">
      <c r="A305" s="5"/>
    </row>
    <row r="306" ht="14.25" customHeight="1">
      <c r="A306" s="5"/>
    </row>
    <row r="307" ht="14.25" customHeight="1">
      <c r="A307" s="5"/>
    </row>
    <row r="308" ht="14.25" customHeight="1">
      <c r="A308" s="5"/>
    </row>
    <row r="309" ht="14.25" customHeight="1">
      <c r="A309" s="5"/>
    </row>
    <row r="310" ht="14.25" customHeight="1">
      <c r="A310" s="5"/>
    </row>
    <row r="311" ht="14.25" customHeight="1">
      <c r="A311" s="5"/>
    </row>
    <row r="312" ht="14.25" customHeight="1">
      <c r="A312" s="5"/>
    </row>
    <row r="313" ht="14.25" customHeight="1">
      <c r="A313" s="5"/>
    </row>
    <row r="314" ht="14.25" customHeight="1">
      <c r="A314" s="5"/>
    </row>
    <row r="315" ht="14.25" customHeight="1">
      <c r="A315" s="5"/>
    </row>
    <row r="316" ht="14.25" customHeight="1">
      <c r="A316" s="5"/>
    </row>
    <row r="317" ht="14.25" customHeight="1">
      <c r="A317" s="5"/>
    </row>
    <row r="318" ht="14.25" customHeight="1">
      <c r="A318" s="5"/>
    </row>
    <row r="319" ht="14.25" customHeight="1">
      <c r="A319" s="5"/>
    </row>
    <row r="320" ht="14.25" customHeight="1">
      <c r="A320" s="5"/>
    </row>
    <row r="321" ht="14.25" customHeight="1">
      <c r="A321" s="5"/>
    </row>
    <row r="322" ht="14.25" customHeight="1">
      <c r="A322" s="5"/>
    </row>
    <row r="323" ht="14.25" customHeight="1">
      <c r="A323" s="5"/>
    </row>
    <row r="324" ht="14.25" customHeight="1">
      <c r="A324" s="5"/>
    </row>
    <row r="325" ht="14.25" customHeight="1">
      <c r="A325" s="5"/>
    </row>
    <row r="326" ht="14.25" customHeight="1">
      <c r="A326" s="5"/>
    </row>
    <row r="327" ht="14.25" customHeight="1">
      <c r="A327" s="5"/>
    </row>
    <row r="328" ht="14.25" customHeight="1">
      <c r="A328" s="5"/>
    </row>
    <row r="329" ht="14.25" customHeight="1">
      <c r="A329" s="5"/>
    </row>
    <row r="330" ht="14.25" customHeight="1">
      <c r="A330" s="5"/>
    </row>
    <row r="331" ht="14.25" customHeight="1">
      <c r="A331" s="5"/>
    </row>
    <row r="332" ht="14.25" customHeight="1">
      <c r="A332" s="5"/>
    </row>
    <row r="333" ht="14.25" customHeight="1">
      <c r="A333" s="5"/>
    </row>
    <row r="334" ht="14.25" customHeight="1">
      <c r="A334" s="5"/>
    </row>
    <row r="335" ht="14.25" customHeight="1">
      <c r="A335" s="5"/>
    </row>
    <row r="336" ht="14.25" customHeight="1">
      <c r="A336" s="5"/>
    </row>
    <row r="337" ht="14.25" customHeight="1">
      <c r="A337" s="5"/>
    </row>
    <row r="338" ht="14.25" customHeight="1">
      <c r="A338" s="5"/>
    </row>
    <row r="339" ht="14.25" customHeight="1">
      <c r="A339" s="5"/>
    </row>
    <row r="340" ht="14.25" customHeight="1">
      <c r="A340" s="5"/>
    </row>
    <row r="341" ht="14.25" customHeight="1">
      <c r="A341" s="5"/>
    </row>
    <row r="342" ht="14.25" customHeight="1">
      <c r="A342" s="5"/>
    </row>
    <row r="343" ht="14.25" customHeight="1">
      <c r="A343" s="5"/>
    </row>
    <row r="344" ht="14.25" customHeight="1">
      <c r="A344" s="5"/>
    </row>
    <row r="345" ht="14.25" customHeight="1">
      <c r="A345" s="5"/>
    </row>
    <row r="346" ht="14.25" customHeight="1">
      <c r="A346" s="5"/>
    </row>
    <row r="347" ht="14.25" customHeight="1">
      <c r="A347" s="5"/>
    </row>
    <row r="348" ht="14.25" customHeight="1">
      <c r="A348" s="5"/>
    </row>
    <row r="349" ht="14.25" customHeight="1">
      <c r="A349" s="5"/>
    </row>
    <row r="350" ht="14.25" customHeight="1">
      <c r="A350" s="5"/>
    </row>
    <row r="351" ht="14.25" customHeight="1">
      <c r="A351" s="5"/>
    </row>
    <row r="352" ht="14.25" customHeight="1">
      <c r="A352" s="5"/>
    </row>
    <row r="353" ht="14.25" customHeight="1">
      <c r="A353" s="5"/>
    </row>
    <row r="354" ht="14.25" customHeight="1">
      <c r="A354" s="5"/>
    </row>
    <row r="355" ht="14.25" customHeight="1">
      <c r="A355" s="5"/>
    </row>
    <row r="356" ht="14.25" customHeight="1">
      <c r="A356" s="5"/>
    </row>
    <row r="357" ht="14.25" customHeight="1">
      <c r="A357" s="5"/>
    </row>
    <row r="358" ht="14.25" customHeight="1">
      <c r="A358" s="5"/>
    </row>
    <row r="359" ht="14.25" customHeight="1">
      <c r="A359" s="5"/>
    </row>
    <row r="360" ht="14.25" customHeight="1">
      <c r="A360" s="5"/>
    </row>
    <row r="361" ht="14.25" customHeight="1">
      <c r="A361" s="5"/>
    </row>
    <row r="362" ht="14.25" customHeight="1">
      <c r="A362" s="5"/>
    </row>
    <row r="363" ht="14.25" customHeight="1">
      <c r="A363" s="5"/>
    </row>
    <row r="364" ht="14.25" customHeight="1">
      <c r="A364" s="5"/>
    </row>
    <row r="365" ht="14.25" customHeight="1">
      <c r="A365" s="5"/>
    </row>
    <row r="366" ht="14.25" customHeight="1">
      <c r="A366" s="5"/>
    </row>
    <row r="367" ht="14.25" customHeight="1">
      <c r="A367" s="5"/>
    </row>
    <row r="368" ht="14.25" customHeight="1">
      <c r="A368" s="5"/>
    </row>
    <row r="369" ht="14.25" customHeight="1">
      <c r="A369" s="5"/>
    </row>
    <row r="370" ht="14.25" customHeight="1">
      <c r="A370" s="5"/>
    </row>
    <row r="371" ht="14.25" customHeight="1">
      <c r="A371" s="5"/>
    </row>
    <row r="372" ht="14.25" customHeight="1">
      <c r="A372" s="5"/>
    </row>
    <row r="373" ht="14.25" customHeight="1">
      <c r="A373" s="5"/>
    </row>
    <row r="374" ht="14.25" customHeight="1">
      <c r="A374" s="5"/>
    </row>
    <row r="375" ht="14.25" customHeight="1">
      <c r="A375" s="5"/>
    </row>
    <row r="376" ht="14.25" customHeight="1">
      <c r="A376" s="5"/>
    </row>
    <row r="377" ht="14.25" customHeight="1">
      <c r="A377" s="5"/>
    </row>
    <row r="378" ht="14.25" customHeight="1">
      <c r="A378" s="5"/>
    </row>
    <row r="379" ht="14.25" customHeight="1">
      <c r="A379" s="5"/>
    </row>
    <row r="380" ht="14.25" customHeight="1">
      <c r="A380" s="5"/>
    </row>
    <row r="381" ht="14.25" customHeight="1">
      <c r="A381" s="5"/>
    </row>
    <row r="382" ht="14.25" customHeight="1">
      <c r="A382" s="5"/>
    </row>
    <row r="383" ht="14.25" customHeight="1">
      <c r="A383" s="5"/>
    </row>
    <row r="384" ht="14.25" customHeight="1">
      <c r="A384" s="5"/>
    </row>
    <row r="385" ht="14.25" customHeight="1">
      <c r="A385" s="5"/>
    </row>
    <row r="386" ht="14.25" customHeight="1">
      <c r="A386" s="5"/>
    </row>
    <row r="387" ht="14.25" customHeight="1">
      <c r="A387" s="5"/>
    </row>
    <row r="388" ht="14.25" customHeight="1">
      <c r="A388" s="5"/>
    </row>
    <row r="389" ht="14.25" customHeight="1">
      <c r="A389" s="5"/>
    </row>
    <row r="390" ht="14.25" customHeight="1">
      <c r="A390" s="5"/>
    </row>
    <row r="391" ht="14.25" customHeight="1">
      <c r="A391" s="5"/>
    </row>
    <row r="392" ht="14.25" customHeight="1">
      <c r="A392" s="5"/>
    </row>
    <row r="393" ht="14.25" customHeight="1">
      <c r="A393" s="5"/>
    </row>
    <row r="394" ht="14.25" customHeight="1">
      <c r="A394" s="5"/>
    </row>
    <row r="395" ht="14.25" customHeight="1">
      <c r="A395" s="5"/>
    </row>
    <row r="396" ht="14.25" customHeight="1">
      <c r="A396" s="5"/>
    </row>
    <row r="397" ht="14.25" customHeight="1">
      <c r="A397" s="5"/>
    </row>
    <row r="398" ht="14.25" customHeight="1">
      <c r="A398" s="5"/>
    </row>
    <row r="399" ht="14.25" customHeight="1">
      <c r="A399" s="5"/>
    </row>
    <row r="400" ht="14.25" customHeight="1">
      <c r="A400" s="5"/>
    </row>
    <row r="401" ht="14.25" customHeight="1">
      <c r="A401" s="5"/>
    </row>
    <row r="402" ht="14.25" customHeight="1">
      <c r="A402" s="5"/>
    </row>
    <row r="403" ht="14.25" customHeight="1">
      <c r="A403" s="5"/>
    </row>
    <row r="404" ht="14.25" customHeight="1">
      <c r="A404" s="5"/>
    </row>
    <row r="405" ht="14.25" customHeight="1">
      <c r="A405" s="5"/>
    </row>
    <row r="406" ht="14.25" customHeight="1">
      <c r="A406" s="5"/>
    </row>
    <row r="407" ht="14.25" customHeight="1">
      <c r="A407" s="5"/>
    </row>
    <row r="408" ht="14.25" customHeight="1">
      <c r="A408" s="5"/>
    </row>
    <row r="409" ht="14.25" customHeight="1">
      <c r="A409" s="5"/>
    </row>
    <row r="410" ht="14.25" customHeight="1">
      <c r="A410" s="5"/>
    </row>
    <row r="411" ht="14.25" customHeight="1">
      <c r="A411" s="5"/>
    </row>
    <row r="412" ht="14.25" customHeight="1">
      <c r="A412" s="5"/>
    </row>
    <row r="413" ht="14.25" customHeight="1">
      <c r="A413" s="5"/>
    </row>
    <row r="414" ht="14.25" customHeight="1">
      <c r="A414" s="5"/>
    </row>
    <row r="415" ht="14.25" customHeight="1">
      <c r="A415" s="5"/>
    </row>
    <row r="416" ht="14.25" customHeight="1">
      <c r="A416" s="5"/>
    </row>
    <row r="417" ht="14.25" customHeight="1">
      <c r="A417" s="5"/>
    </row>
    <row r="418" ht="14.25" customHeight="1">
      <c r="A418" s="5"/>
    </row>
    <row r="419" ht="14.25" customHeight="1">
      <c r="A419" s="5"/>
    </row>
    <row r="420" ht="14.25" customHeight="1">
      <c r="A420" s="5"/>
    </row>
    <row r="421" ht="14.25" customHeight="1">
      <c r="A421" s="5"/>
    </row>
    <row r="422" ht="14.25" customHeight="1">
      <c r="A422" s="5"/>
    </row>
    <row r="423" ht="14.25" customHeight="1">
      <c r="A423" s="5"/>
    </row>
    <row r="424" ht="14.25" customHeight="1">
      <c r="A424" s="5"/>
    </row>
    <row r="425" ht="14.25" customHeight="1">
      <c r="A425" s="5"/>
    </row>
    <row r="426" ht="14.25" customHeight="1">
      <c r="A426" s="5"/>
    </row>
    <row r="427" ht="14.25" customHeight="1">
      <c r="A427" s="5"/>
    </row>
    <row r="428" ht="14.25" customHeight="1">
      <c r="A428" s="5"/>
    </row>
    <row r="429" ht="14.25" customHeight="1">
      <c r="A429" s="5"/>
    </row>
    <row r="430" ht="14.25" customHeight="1">
      <c r="A430" s="5"/>
    </row>
    <row r="431" ht="14.25" customHeight="1">
      <c r="A431" s="5"/>
    </row>
    <row r="432" ht="14.25" customHeight="1">
      <c r="A432" s="5"/>
    </row>
    <row r="433" ht="14.25" customHeight="1">
      <c r="A433" s="5"/>
    </row>
    <row r="434" ht="14.25" customHeight="1">
      <c r="A434" s="5"/>
    </row>
    <row r="435" ht="14.25" customHeight="1">
      <c r="A435" s="5"/>
    </row>
    <row r="436" ht="14.25" customHeight="1">
      <c r="A436" s="5"/>
    </row>
    <row r="437" ht="14.25" customHeight="1">
      <c r="A437" s="5"/>
    </row>
    <row r="438" ht="14.25" customHeight="1">
      <c r="A438" s="5"/>
    </row>
    <row r="439" ht="14.25" customHeight="1">
      <c r="A439" s="5"/>
    </row>
    <row r="440" ht="14.25" customHeight="1">
      <c r="A440" s="5"/>
    </row>
    <row r="441" ht="14.25" customHeight="1">
      <c r="A441" s="5"/>
    </row>
    <row r="442" ht="14.25" customHeight="1">
      <c r="A442" s="5"/>
    </row>
    <row r="443" ht="14.25" customHeight="1">
      <c r="A443" s="5"/>
    </row>
    <row r="444" ht="14.25" customHeight="1">
      <c r="A444" s="5"/>
    </row>
    <row r="445" ht="14.25" customHeight="1">
      <c r="A445" s="5"/>
    </row>
    <row r="446" ht="14.25" customHeight="1">
      <c r="A446" s="5"/>
    </row>
    <row r="447" ht="14.25" customHeight="1">
      <c r="A447" s="5"/>
    </row>
    <row r="448" ht="14.25" customHeight="1">
      <c r="A448" s="5"/>
    </row>
    <row r="449" ht="14.25" customHeight="1">
      <c r="A449" s="5"/>
    </row>
    <row r="450" ht="14.25" customHeight="1">
      <c r="A450" s="5"/>
    </row>
    <row r="451" ht="14.25" customHeight="1">
      <c r="A451" s="5"/>
    </row>
    <row r="452" ht="14.25" customHeight="1">
      <c r="A452" s="5"/>
    </row>
    <row r="453" ht="14.25" customHeight="1">
      <c r="A453" s="5"/>
    </row>
    <row r="454" ht="14.25" customHeight="1">
      <c r="A454" s="5"/>
    </row>
    <row r="455" ht="14.25" customHeight="1">
      <c r="A455" s="5"/>
    </row>
    <row r="456" ht="14.25" customHeight="1">
      <c r="A456" s="5"/>
    </row>
    <row r="457" ht="14.25" customHeight="1">
      <c r="A457" s="5"/>
    </row>
    <row r="458" ht="14.25" customHeight="1">
      <c r="A458" s="5"/>
    </row>
    <row r="459" ht="14.25" customHeight="1">
      <c r="A459" s="5"/>
    </row>
    <row r="460" ht="14.25" customHeight="1">
      <c r="A460" s="5"/>
    </row>
    <row r="461" ht="14.25" customHeight="1">
      <c r="A461" s="5"/>
    </row>
    <row r="462" ht="14.25" customHeight="1">
      <c r="A462" s="5"/>
    </row>
    <row r="463" ht="14.25" customHeight="1">
      <c r="A463" s="5"/>
    </row>
    <row r="464" ht="14.25" customHeight="1">
      <c r="A464" s="5"/>
    </row>
    <row r="465" ht="14.25" customHeight="1">
      <c r="A465" s="5"/>
    </row>
    <row r="466" ht="14.25" customHeight="1">
      <c r="A466" s="5"/>
    </row>
    <row r="467" ht="14.25" customHeight="1">
      <c r="A467" s="5"/>
    </row>
    <row r="468" ht="14.25" customHeight="1">
      <c r="A468" s="5"/>
    </row>
    <row r="469" ht="14.25" customHeight="1">
      <c r="A469" s="5"/>
    </row>
    <row r="470" ht="14.25" customHeight="1">
      <c r="A470" s="5"/>
    </row>
    <row r="471" ht="14.25" customHeight="1">
      <c r="A471" s="5"/>
    </row>
    <row r="472" ht="14.25" customHeight="1">
      <c r="A472" s="5"/>
    </row>
    <row r="473" ht="14.25" customHeight="1">
      <c r="A473" s="5"/>
    </row>
    <row r="474" ht="14.25" customHeight="1">
      <c r="A474" s="5"/>
    </row>
    <row r="475" ht="14.25" customHeight="1">
      <c r="A475" s="5"/>
    </row>
    <row r="476" ht="14.25" customHeight="1">
      <c r="A476" s="5"/>
    </row>
    <row r="477" ht="14.25" customHeight="1">
      <c r="A477" s="5"/>
    </row>
    <row r="478" ht="14.25" customHeight="1">
      <c r="A478" s="5"/>
    </row>
    <row r="479" ht="14.25" customHeight="1">
      <c r="A479" s="5"/>
    </row>
    <row r="480" ht="14.25" customHeight="1">
      <c r="A480" s="5"/>
    </row>
    <row r="481" ht="14.25" customHeight="1">
      <c r="A481" s="5"/>
    </row>
    <row r="482" ht="14.25" customHeight="1">
      <c r="A482" s="5"/>
    </row>
    <row r="483" ht="14.25" customHeight="1">
      <c r="A483" s="5"/>
    </row>
    <row r="484" ht="14.25" customHeight="1">
      <c r="A484" s="5"/>
    </row>
    <row r="485" ht="14.25" customHeight="1">
      <c r="A485" s="5"/>
    </row>
    <row r="486" ht="14.25" customHeight="1">
      <c r="A486" s="5"/>
    </row>
    <row r="487" ht="14.25" customHeight="1">
      <c r="A487" s="5"/>
    </row>
    <row r="488" ht="14.25" customHeight="1">
      <c r="A488" s="5"/>
    </row>
    <row r="489" ht="14.25" customHeight="1">
      <c r="A489" s="5"/>
    </row>
    <row r="490" ht="14.25" customHeight="1">
      <c r="A490" s="5"/>
    </row>
    <row r="491" ht="14.25" customHeight="1">
      <c r="A491" s="5"/>
    </row>
    <row r="492" ht="14.25" customHeight="1">
      <c r="A492" s="5"/>
    </row>
    <row r="493" ht="14.25" customHeight="1">
      <c r="A493" s="5"/>
    </row>
    <row r="494" ht="14.25" customHeight="1">
      <c r="A494" s="5"/>
    </row>
    <row r="495" ht="14.25" customHeight="1">
      <c r="A495" s="5"/>
    </row>
    <row r="496" ht="14.25" customHeight="1">
      <c r="A496" s="5"/>
    </row>
    <row r="497" ht="14.25" customHeight="1">
      <c r="A497" s="5"/>
    </row>
    <row r="498" ht="14.25" customHeight="1">
      <c r="A498" s="5"/>
    </row>
    <row r="499" ht="14.25" customHeight="1">
      <c r="A499" s="5"/>
    </row>
    <row r="500" ht="14.25" customHeight="1">
      <c r="A500" s="5"/>
    </row>
    <row r="501" ht="14.25" customHeight="1">
      <c r="A501" s="5"/>
    </row>
    <row r="502" ht="14.25" customHeight="1">
      <c r="A502" s="5"/>
    </row>
    <row r="503" ht="14.25" customHeight="1">
      <c r="A503" s="5"/>
    </row>
    <row r="504" ht="14.25" customHeight="1">
      <c r="A504" s="5"/>
    </row>
    <row r="505" ht="14.25" customHeight="1">
      <c r="A505" s="5"/>
    </row>
    <row r="506" ht="14.25" customHeight="1">
      <c r="A506" s="5"/>
    </row>
    <row r="507" ht="14.25" customHeight="1">
      <c r="A507" s="5"/>
    </row>
    <row r="508" ht="14.25" customHeight="1">
      <c r="A508" s="5"/>
    </row>
    <row r="509" ht="14.25" customHeight="1">
      <c r="A509" s="5"/>
    </row>
    <row r="510" ht="14.25" customHeight="1">
      <c r="A510" s="5"/>
    </row>
    <row r="511" ht="14.25" customHeight="1">
      <c r="A511" s="5"/>
    </row>
    <row r="512" ht="14.25" customHeight="1">
      <c r="A512" s="5"/>
    </row>
    <row r="513" ht="14.25" customHeight="1">
      <c r="A513" s="5"/>
    </row>
    <row r="514" ht="14.25" customHeight="1">
      <c r="A514" s="5"/>
    </row>
    <row r="515" ht="14.25" customHeight="1">
      <c r="A515" s="5"/>
    </row>
    <row r="516" ht="14.25" customHeight="1">
      <c r="A516" s="5"/>
    </row>
    <row r="517" ht="14.25" customHeight="1">
      <c r="A517" s="5"/>
    </row>
    <row r="518" ht="14.25" customHeight="1">
      <c r="A518" s="5"/>
    </row>
    <row r="519" ht="14.25" customHeight="1">
      <c r="A519" s="5"/>
    </row>
    <row r="520" ht="14.25" customHeight="1">
      <c r="A520" s="5"/>
    </row>
    <row r="521" ht="14.25" customHeight="1">
      <c r="A521" s="5"/>
    </row>
    <row r="522" ht="14.25" customHeight="1">
      <c r="A522" s="5"/>
    </row>
    <row r="523" ht="14.25" customHeight="1">
      <c r="A523" s="5"/>
    </row>
    <row r="524" ht="14.25" customHeight="1">
      <c r="A524" s="5"/>
    </row>
    <row r="525" ht="14.25" customHeight="1">
      <c r="A525" s="5"/>
    </row>
    <row r="526" ht="14.25" customHeight="1">
      <c r="A526" s="5"/>
    </row>
    <row r="527" ht="14.25" customHeight="1">
      <c r="A527" s="5"/>
    </row>
    <row r="528" ht="14.25" customHeight="1">
      <c r="A528" s="5"/>
    </row>
    <row r="529" ht="14.25" customHeight="1">
      <c r="A529" s="5"/>
    </row>
    <row r="530" ht="14.25" customHeight="1">
      <c r="A530" s="5"/>
    </row>
    <row r="531" ht="14.25" customHeight="1">
      <c r="A531" s="5"/>
    </row>
    <row r="532" ht="14.25" customHeight="1">
      <c r="A532" s="5"/>
    </row>
    <row r="533" ht="14.25" customHeight="1">
      <c r="A533" s="5"/>
    </row>
    <row r="534" ht="14.25" customHeight="1">
      <c r="A534" s="5"/>
    </row>
    <row r="535" ht="14.25" customHeight="1">
      <c r="A535" s="5"/>
    </row>
    <row r="536" ht="14.25" customHeight="1">
      <c r="A536" s="5"/>
    </row>
    <row r="537" ht="14.25" customHeight="1">
      <c r="A537" s="5"/>
    </row>
    <row r="538" ht="14.25" customHeight="1">
      <c r="A538" s="5"/>
    </row>
    <row r="539" ht="14.25" customHeight="1">
      <c r="A539" s="5"/>
    </row>
    <row r="540" ht="14.25" customHeight="1">
      <c r="A540" s="5"/>
    </row>
    <row r="541" ht="14.25" customHeight="1">
      <c r="A541" s="5"/>
    </row>
    <row r="542" ht="14.25" customHeight="1">
      <c r="A542" s="5"/>
    </row>
    <row r="543" ht="14.25" customHeight="1">
      <c r="A543" s="5"/>
    </row>
    <row r="544" ht="14.25" customHeight="1">
      <c r="A544" s="5"/>
    </row>
    <row r="545" ht="14.25" customHeight="1">
      <c r="A545" s="5"/>
    </row>
    <row r="546" ht="14.25" customHeight="1">
      <c r="A546" s="5"/>
    </row>
    <row r="547" ht="14.25" customHeight="1">
      <c r="A547" s="5"/>
    </row>
    <row r="548" ht="14.25" customHeight="1">
      <c r="A548" s="5"/>
    </row>
    <row r="549" ht="14.25" customHeight="1">
      <c r="A549" s="5"/>
    </row>
    <row r="550" ht="14.25" customHeight="1">
      <c r="A550" s="5"/>
    </row>
    <row r="551" ht="14.25" customHeight="1">
      <c r="A551" s="5"/>
    </row>
    <row r="552" ht="14.25" customHeight="1">
      <c r="A552" s="5"/>
    </row>
    <row r="553" ht="14.25" customHeight="1">
      <c r="A553" s="5"/>
    </row>
    <row r="554" ht="14.25" customHeight="1">
      <c r="A554" s="5"/>
    </row>
    <row r="555" ht="14.25" customHeight="1">
      <c r="A555" s="5"/>
    </row>
    <row r="556" ht="14.25" customHeight="1">
      <c r="A556" s="5"/>
    </row>
    <row r="557" ht="14.25" customHeight="1">
      <c r="A557" s="5"/>
    </row>
    <row r="558" ht="14.25" customHeight="1">
      <c r="A558" s="5"/>
    </row>
    <row r="559" ht="14.25" customHeight="1">
      <c r="A559" s="5"/>
    </row>
    <row r="560" ht="14.25" customHeight="1">
      <c r="A560" s="5"/>
    </row>
    <row r="561" ht="14.25" customHeight="1">
      <c r="A561" s="5"/>
    </row>
    <row r="562" ht="14.25" customHeight="1">
      <c r="A562" s="5"/>
    </row>
    <row r="563" ht="14.25" customHeight="1">
      <c r="A563" s="5"/>
    </row>
    <row r="564" ht="14.25" customHeight="1">
      <c r="A564" s="5"/>
    </row>
    <row r="565" ht="14.25" customHeight="1">
      <c r="A565" s="5"/>
    </row>
    <row r="566" ht="14.25" customHeight="1">
      <c r="A566" s="5"/>
    </row>
    <row r="567" ht="14.25" customHeight="1">
      <c r="A567" s="5"/>
    </row>
    <row r="568" ht="14.25" customHeight="1">
      <c r="A568" s="5"/>
    </row>
    <row r="569" ht="14.25" customHeight="1">
      <c r="A569" s="5"/>
    </row>
    <row r="570" ht="14.25" customHeight="1">
      <c r="A570" s="5"/>
    </row>
    <row r="571" ht="14.25" customHeight="1">
      <c r="A571" s="5"/>
    </row>
    <row r="572" ht="14.25" customHeight="1">
      <c r="A572" s="5"/>
    </row>
    <row r="573" ht="14.25" customHeight="1">
      <c r="A573" s="5"/>
    </row>
    <row r="574" ht="14.25" customHeight="1">
      <c r="A574" s="5"/>
    </row>
    <row r="575" ht="14.25" customHeight="1">
      <c r="A575" s="5"/>
    </row>
    <row r="576" ht="14.25" customHeight="1">
      <c r="A576" s="5"/>
    </row>
    <row r="577" ht="14.25" customHeight="1">
      <c r="A577" s="5"/>
    </row>
    <row r="578" ht="14.25" customHeight="1">
      <c r="A578" s="5"/>
    </row>
    <row r="579" ht="14.25" customHeight="1">
      <c r="A579" s="5"/>
    </row>
    <row r="580" ht="14.25" customHeight="1">
      <c r="A580" s="5"/>
    </row>
    <row r="581" ht="14.25" customHeight="1">
      <c r="A581" s="5"/>
    </row>
    <row r="582" ht="14.25" customHeight="1">
      <c r="A582" s="5"/>
    </row>
    <row r="583" ht="14.25" customHeight="1">
      <c r="A583" s="5"/>
    </row>
    <row r="584" ht="14.25" customHeight="1">
      <c r="A584" s="5"/>
    </row>
    <row r="585" ht="14.25" customHeight="1">
      <c r="A585" s="5"/>
    </row>
    <row r="586" ht="14.25" customHeight="1">
      <c r="A586" s="5"/>
    </row>
    <row r="587" ht="14.25" customHeight="1">
      <c r="A587" s="5"/>
    </row>
    <row r="588" ht="14.25" customHeight="1">
      <c r="A588" s="5"/>
    </row>
    <row r="589" ht="14.25" customHeight="1">
      <c r="A589" s="5"/>
    </row>
    <row r="590" ht="14.25" customHeight="1">
      <c r="A590" s="5"/>
    </row>
    <row r="591" ht="14.25" customHeight="1">
      <c r="A591" s="5"/>
    </row>
    <row r="592" ht="14.25" customHeight="1">
      <c r="A592" s="5"/>
    </row>
    <row r="593" ht="14.25" customHeight="1">
      <c r="A593" s="5"/>
    </row>
    <row r="594" ht="14.25" customHeight="1">
      <c r="A594" s="5"/>
    </row>
    <row r="595" ht="14.25" customHeight="1">
      <c r="A595" s="5"/>
    </row>
    <row r="596" ht="14.25" customHeight="1">
      <c r="A596" s="5"/>
    </row>
    <row r="597" ht="14.25" customHeight="1">
      <c r="A597" s="5"/>
    </row>
    <row r="598" ht="14.25" customHeight="1">
      <c r="A598" s="5"/>
    </row>
    <row r="599" ht="14.25" customHeight="1">
      <c r="A599" s="5"/>
    </row>
    <row r="600" ht="14.25" customHeight="1">
      <c r="A600" s="5"/>
    </row>
    <row r="601" ht="14.25" customHeight="1">
      <c r="A601" s="5"/>
    </row>
    <row r="602" ht="14.25" customHeight="1">
      <c r="A602" s="5"/>
    </row>
    <row r="603" ht="14.25" customHeight="1">
      <c r="A603" s="5"/>
    </row>
    <row r="604" ht="14.25" customHeight="1">
      <c r="A604" s="5"/>
    </row>
    <row r="605" ht="14.25" customHeight="1">
      <c r="A605" s="5"/>
    </row>
    <row r="606" ht="14.25" customHeight="1">
      <c r="A606" s="5"/>
    </row>
    <row r="607" ht="14.25" customHeight="1">
      <c r="A607" s="5"/>
    </row>
    <row r="608" ht="14.25" customHeight="1">
      <c r="A608" s="5"/>
    </row>
    <row r="609" ht="14.25" customHeight="1">
      <c r="A609" s="5"/>
    </row>
    <row r="610" ht="14.25" customHeight="1">
      <c r="A610" s="5"/>
    </row>
    <row r="611" ht="14.25" customHeight="1">
      <c r="A611" s="5"/>
    </row>
    <row r="612" ht="14.25" customHeight="1">
      <c r="A612" s="5"/>
    </row>
    <row r="613" ht="14.25" customHeight="1">
      <c r="A613" s="5"/>
    </row>
    <row r="614" ht="14.25" customHeight="1">
      <c r="A614" s="5"/>
    </row>
    <row r="615" ht="14.25" customHeight="1">
      <c r="A615" s="5"/>
    </row>
    <row r="616" ht="14.25" customHeight="1">
      <c r="A616" s="5"/>
    </row>
    <row r="617" ht="14.25" customHeight="1">
      <c r="A617" s="5"/>
    </row>
    <row r="618" ht="14.25" customHeight="1">
      <c r="A618" s="5"/>
    </row>
    <row r="619" ht="14.25" customHeight="1">
      <c r="A619" s="5"/>
    </row>
    <row r="620" ht="14.25" customHeight="1">
      <c r="A620" s="5"/>
    </row>
    <row r="621" ht="14.25" customHeight="1">
      <c r="A621" s="5"/>
    </row>
    <row r="622" ht="14.25" customHeight="1">
      <c r="A622" s="5"/>
    </row>
    <row r="623" ht="14.25" customHeight="1">
      <c r="A623" s="5"/>
    </row>
    <row r="624" ht="14.25" customHeight="1">
      <c r="A624" s="5"/>
    </row>
    <row r="625" ht="14.25" customHeight="1">
      <c r="A625" s="5"/>
    </row>
    <row r="626" ht="14.25" customHeight="1">
      <c r="A626" s="5"/>
    </row>
    <row r="627" ht="14.25" customHeight="1">
      <c r="A627" s="5"/>
    </row>
    <row r="628" ht="14.25" customHeight="1">
      <c r="A628" s="5"/>
    </row>
    <row r="629" ht="14.25" customHeight="1">
      <c r="A629" s="5"/>
    </row>
    <row r="630" ht="14.25" customHeight="1">
      <c r="A630" s="5"/>
    </row>
    <row r="631" ht="14.25" customHeight="1">
      <c r="A631" s="5"/>
    </row>
    <row r="632" ht="14.25" customHeight="1">
      <c r="A632" s="5"/>
    </row>
    <row r="633" ht="14.25" customHeight="1">
      <c r="A633" s="5"/>
    </row>
    <row r="634" ht="14.25" customHeight="1">
      <c r="A634" s="5"/>
    </row>
    <row r="635" ht="14.25" customHeight="1">
      <c r="A635" s="5"/>
    </row>
    <row r="636" ht="14.25" customHeight="1">
      <c r="A636" s="5"/>
    </row>
    <row r="637" ht="14.25" customHeight="1">
      <c r="A637" s="5"/>
    </row>
    <row r="638" ht="14.25" customHeight="1">
      <c r="A638" s="5"/>
    </row>
    <row r="639" ht="14.25" customHeight="1">
      <c r="A639" s="5"/>
    </row>
    <row r="640" ht="14.25" customHeight="1">
      <c r="A640" s="5"/>
    </row>
    <row r="641" ht="14.25" customHeight="1">
      <c r="A641" s="5"/>
    </row>
    <row r="642" ht="14.25" customHeight="1">
      <c r="A642" s="5"/>
    </row>
    <row r="643" ht="14.25" customHeight="1">
      <c r="A643" s="5"/>
    </row>
    <row r="644" ht="14.25" customHeight="1">
      <c r="A644" s="5"/>
    </row>
    <row r="645" ht="14.25" customHeight="1">
      <c r="A645" s="5"/>
    </row>
    <row r="646" ht="14.25" customHeight="1">
      <c r="A646" s="5"/>
    </row>
    <row r="647" ht="14.25" customHeight="1">
      <c r="A647" s="5"/>
    </row>
    <row r="648" ht="14.25" customHeight="1">
      <c r="A648" s="5"/>
    </row>
    <row r="649" ht="14.25" customHeight="1">
      <c r="A649" s="5"/>
    </row>
    <row r="650" ht="14.25" customHeight="1">
      <c r="A650" s="5"/>
    </row>
    <row r="651" ht="14.25" customHeight="1">
      <c r="A651" s="5"/>
    </row>
    <row r="652" ht="14.25" customHeight="1">
      <c r="A652" s="5"/>
    </row>
    <row r="653" ht="14.25" customHeight="1">
      <c r="A653" s="5"/>
    </row>
    <row r="654" ht="14.25" customHeight="1">
      <c r="A654" s="5"/>
    </row>
    <row r="655" ht="14.25" customHeight="1">
      <c r="A655" s="5"/>
    </row>
    <row r="656" ht="14.25" customHeight="1">
      <c r="A656" s="5"/>
    </row>
    <row r="657" ht="14.25" customHeight="1">
      <c r="A657" s="5"/>
    </row>
    <row r="658" ht="14.25" customHeight="1">
      <c r="A658" s="5"/>
    </row>
    <row r="659" ht="14.25" customHeight="1">
      <c r="A659" s="5"/>
    </row>
    <row r="660" ht="14.25" customHeight="1">
      <c r="A660" s="5"/>
    </row>
    <row r="661" ht="14.25" customHeight="1">
      <c r="A661" s="5"/>
    </row>
    <row r="662" ht="14.25" customHeight="1">
      <c r="A662" s="5"/>
    </row>
    <row r="663" ht="14.25" customHeight="1">
      <c r="A663" s="5"/>
    </row>
    <row r="664" ht="14.25" customHeight="1">
      <c r="A664" s="5"/>
    </row>
    <row r="665" ht="14.25" customHeight="1">
      <c r="A665" s="5"/>
    </row>
    <row r="666" ht="14.25" customHeight="1">
      <c r="A666" s="5"/>
    </row>
    <row r="667" ht="14.25" customHeight="1">
      <c r="A667" s="5"/>
    </row>
    <row r="668" ht="14.25" customHeight="1">
      <c r="A668" s="5"/>
    </row>
    <row r="669" ht="14.25" customHeight="1">
      <c r="A669" s="5"/>
    </row>
    <row r="670" ht="14.25" customHeight="1">
      <c r="A670" s="5"/>
    </row>
    <row r="671" ht="14.25" customHeight="1">
      <c r="A671" s="5"/>
    </row>
    <row r="672" ht="14.25" customHeight="1">
      <c r="A672" s="5"/>
    </row>
    <row r="673" ht="14.25" customHeight="1">
      <c r="A673" s="5"/>
    </row>
    <row r="674" ht="14.25" customHeight="1">
      <c r="A674" s="5"/>
    </row>
    <row r="675" ht="14.25" customHeight="1">
      <c r="A675" s="5"/>
    </row>
    <row r="676" ht="14.25" customHeight="1">
      <c r="A676" s="5"/>
    </row>
    <row r="677" ht="14.25" customHeight="1">
      <c r="A677" s="5"/>
    </row>
    <row r="678" ht="14.25" customHeight="1">
      <c r="A678" s="5"/>
    </row>
    <row r="679" ht="14.25" customHeight="1">
      <c r="A679" s="5"/>
    </row>
    <row r="680" ht="14.25" customHeight="1">
      <c r="A680" s="5"/>
    </row>
    <row r="681" ht="14.25" customHeight="1">
      <c r="A681" s="5"/>
    </row>
    <row r="682" ht="14.25" customHeight="1">
      <c r="A682" s="5"/>
    </row>
    <row r="683" ht="14.25" customHeight="1">
      <c r="A683" s="5"/>
    </row>
    <row r="684" ht="14.25" customHeight="1">
      <c r="A684" s="5"/>
    </row>
    <row r="685" ht="14.25" customHeight="1">
      <c r="A685" s="5"/>
    </row>
    <row r="686" ht="14.25" customHeight="1">
      <c r="A686" s="5"/>
    </row>
    <row r="687" ht="14.25" customHeight="1">
      <c r="A687" s="5"/>
    </row>
    <row r="688" ht="14.25" customHeight="1">
      <c r="A688" s="5"/>
    </row>
    <row r="689" ht="14.25" customHeight="1">
      <c r="A689" s="5"/>
    </row>
    <row r="690" ht="14.25" customHeight="1">
      <c r="A690" s="5"/>
    </row>
    <row r="691" ht="14.25" customHeight="1">
      <c r="A691" s="5"/>
    </row>
    <row r="692" ht="14.25" customHeight="1">
      <c r="A692" s="5"/>
    </row>
    <row r="693" ht="14.25" customHeight="1">
      <c r="A693" s="5"/>
    </row>
    <row r="694" ht="14.25" customHeight="1">
      <c r="A694" s="5"/>
    </row>
    <row r="695" ht="14.25" customHeight="1">
      <c r="A695" s="5"/>
    </row>
    <row r="696" ht="14.25" customHeight="1">
      <c r="A696" s="5"/>
    </row>
    <row r="697" ht="14.25" customHeight="1">
      <c r="A697" s="5"/>
    </row>
    <row r="698" ht="14.25" customHeight="1">
      <c r="A698" s="5"/>
    </row>
    <row r="699" ht="14.25" customHeight="1">
      <c r="A699" s="5"/>
    </row>
    <row r="700" ht="14.25" customHeight="1">
      <c r="A700" s="5"/>
    </row>
    <row r="701" ht="14.25" customHeight="1">
      <c r="A701" s="5"/>
    </row>
    <row r="702" ht="14.25" customHeight="1">
      <c r="A702" s="5"/>
    </row>
    <row r="703" ht="14.25" customHeight="1">
      <c r="A703" s="5"/>
    </row>
    <row r="704" ht="14.25" customHeight="1">
      <c r="A704" s="5"/>
    </row>
    <row r="705" ht="14.25" customHeight="1">
      <c r="A705" s="5"/>
    </row>
    <row r="706" ht="14.25" customHeight="1">
      <c r="A706" s="5"/>
    </row>
    <row r="707" ht="14.25" customHeight="1">
      <c r="A707" s="5"/>
    </row>
    <row r="708" ht="14.25" customHeight="1">
      <c r="A708" s="5"/>
    </row>
    <row r="709" ht="14.25" customHeight="1">
      <c r="A709" s="5"/>
    </row>
    <row r="710" ht="14.25" customHeight="1">
      <c r="A710" s="5"/>
    </row>
    <row r="711" ht="14.25" customHeight="1">
      <c r="A711" s="5"/>
    </row>
    <row r="712" ht="14.25" customHeight="1">
      <c r="A712" s="5"/>
    </row>
    <row r="713" ht="14.25" customHeight="1">
      <c r="A713" s="5"/>
    </row>
    <row r="714" ht="14.25" customHeight="1">
      <c r="A714" s="5"/>
    </row>
    <row r="715" ht="14.25" customHeight="1">
      <c r="A715" s="5"/>
    </row>
    <row r="716" ht="14.25" customHeight="1">
      <c r="A716" s="5"/>
    </row>
    <row r="717" ht="14.25" customHeight="1">
      <c r="A717" s="5"/>
    </row>
    <row r="718" ht="14.25" customHeight="1">
      <c r="A718" s="5"/>
    </row>
    <row r="719" ht="14.25" customHeight="1">
      <c r="A719" s="5"/>
    </row>
    <row r="720" ht="14.25" customHeight="1">
      <c r="A720" s="5"/>
    </row>
    <row r="721" ht="14.25" customHeight="1">
      <c r="A721" s="5"/>
    </row>
    <row r="722" ht="14.25" customHeight="1">
      <c r="A722" s="5"/>
    </row>
    <row r="723" ht="14.25" customHeight="1">
      <c r="A723" s="5"/>
    </row>
    <row r="724" ht="14.25" customHeight="1">
      <c r="A724" s="5"/>
    </row>
    <row r="725" ht="14.25" customHeight="1">
      <c r="A725" s="5"/>
    </row>
    <row r="726" ht="14.25" customHeight="1">
      <c r="A726" s="5"/>
    </row>
    <row r="727" ht="14.25" customHeight="1">
      <c r="A727" s="5"/>
    </row>
    <row r="728" ht="14.25" customHeight="1">
      <c r="A728" s="5"/>
    </row>
    <row r="729" ht="14.25" customHeight="1">
      <c r="A729" s="5"/>
    </row>
    <row r="730" ht="14.25" customHeight="1">
      <c r="A730" s="5"/>
    </row>
    <row r="731" ht="14.25" customHeight="1">
      <c r="A731" s="5"/>
    </row>
    <row r="732" ht="14.25" customHeight="1">
      <c r="A732" s="5"/>
    </row>
    <row r="733" ht="14.25" customHeight="1">
      <c r="A733" s="5"/>
    </row>
    <row r="734" ht="14.25" customHeight="1">
      <c r="A734" s="5"/>
    </row>
    <row r="735" ht="14.25" customHeight="1">
      <c r="A735" s="5"/>
    </row>
    <row r="736" ht="14.25" customHeight="1">
      <c r="A736" s="5"/>
    </row>
    <row r="737" ht="14.25" customHeight="1">
      <c r="A737" s="5"/>
    </row>
    <row r="738" ht="14.25" customHeight="1">
      <c r="A738" s="5"/>
    </row>
    <row r="739" ht="14.25" customHeight="1">
      <c r="A739" s="5"/>
    </row>
    <row r="740" ht="14.25" customHeight="1">
      <c r="A740" s="5"/>
    </row>
    <row r="741" ht="14.25" customHeight="1">
      <c r="A741" s="5"/>
    </row>
    <row r="742" ht="14.25" customHeight="1">
      <c r="A742" s="5"/>
    </row>
    <row r="743" ht="14.25" customHeight="1">
      <c r="A743" s="5"/>
    </row>
    <row r="744" ht="14.25" customHeight="1">
      <c r="A744" s="5"/>
    </row>
    <row r="745" ht="14.25" customHeight="1">
      <c r="A745" s="5"/>
    </row>
    <row r="746" ht="14.25" customHeight="1">
      <c r="A746" s="5"/>
    </row>
    <row r="747" ht="14.25" customHeight="1">
      <c r="A747" s="5"/>
    </row>
    <row r="748" ht="14.25" customHeight="1">
      <c r="A748" s="5"/>
    </row>
    <row r="749" ht="14.25" customHeight="1">
      <c r="A749" s="5"/>
    </row>
    <row r="750" ht="14.25" customHeight="1">
      <c r="A750" s="5"/>
    </row>
    <row r="751" ht="14.25" customHeight="1">
      <c r="A751" s="5"/>
    </row>
    <row r="752" ht="14.25" customHeight="1">
      <c r="A752" s="5"/>
    </row>
    <row r="753" ht="14.25" customHeight="1">
      <c r="A753" s="5"/>
    </row>
    <row r="754" ht="14.25" customHeight="1">
      <c r="A754" s="5"/>
    </row>
    <row r="755" ht="14.25" customHeight="1">
      <c r="A755" s="5"/>
    </row>
    <row r="756" ht="14.25" customHeight="1">
      <c r="A756" s="5"/>
    </row>
    <row r="757" ht="14.25" customHeight="1">
      <c r="A757" s="5"/>
    </row>
    <row r="758" ht="14.25" customHeight="1">
      <c r="A758" s="5"/>
    </row>
    <row r="759" ht="14.25" customHeight="1">
      <c r="A759" s="5"/>
    </row>
    <row r="760" ht="14.25" customHeight="1">
      <c r="A760" s="5"/>
    </row>
    <row r="761" ht="14.25" customHeight="1">
      <c r="A761" s="5"/>
    </row>
    <row r="762" ht="14.25" customHeight="1">
      <c r="A762" s="5"/>
    </row>
    <row r="763" ht="14.25" customHeight="1">
      <c r="A763" s="5"/>
    </row>
    <row r="764" ht="14.25" customHeight="1">
      <c r="A764" s="5"/>
    </row>
    <row r="765" ht="14.25" customHeight="1">
      <c r="A765" s="5"/>
    </row>
    <row r="766" ht="14.25" customHeight="1">
      <c r="A766" s="5"/>
    </row>
    <row r="767" ht="14.25" customHeight="1">
      <c r="A767" s="5"/>
    </row>
    <row r="768" ht="14.25" customHeight="1">
      <c r="A768" s="5"/>
    </row>
    <row r="769" ht="14.25" customHeight="1">
      <c r="A769" s="5"/>
    </row>
    <row r="770" ht="14.25" customHeight="1">
      <c r="A770" s="5"/>
    </row>
    <row r="771" ht="14.25" customHeight="1">
      <c r="A771" s="5"/>
    </row>
    <row r="772" ht="14.25" customHeight="1">
      <c r="A772" s="5"/>
    </row>
    <row r="773" ht="14.25" customHeight="1">
      <c r="A773" s="5"/>
    </row>
    <row r="774" ht="14.25" customHeight="1">
      <c r="A774" s="5"/>
    </row>
    <row r="775" ht="14.25" customHeight="1">
      <c r="A775" s="5"/>
    </row>
    <row r="776" ht="14.25" customHeight="1">
      <c r="A776" s="5"/>
    </row>
    <row r="777" ht="14.25" customHeight="1">
      <c r="A777" s="5"/>
    </row>
    <row r="778" ht="14.25" customHeight="1">
      <c r="A778" s="5"/>
    </row>
    <row r="779" ht="14.25" customHeight="1">
      <c r="A779" s="5"/>
    </row>
    <row r="780" ht="14.25" customHeight="1">
      <c r="A780" s="5"/>
    </row>
    <row r="781" ht="14.25" customHeight="1">
      <c r="A781" s="5"/>
    </row>
    <row r="782" ht="14.25" customHeight="1">
      <c r="A782" s="5"/>
    </row>
    <row r="783" ht="14.25" customHeight="1">
      <c r="A783" s="5"/>
    </row>
    <row r="784" ht="14.25" customHeight="1">
      <c r="A784" s="5"/>
    </row>
    <row r="785" ht="14.25" customHeight="1">
      <c r="A785" s="5"/>
    </row>
    <row r="786" ht="14.25" customHeight="1">
      <c r="A786" s="5"/>
    </row>
    <row r="787" ht="14.25" customHeight="1">
      <c r="A787" s="5"/>
    </row>
    <row r="788" ht="14.25" customHeight="1">
      <c r="A788" s="5"/>
    </row>
    <row r="789" ht="14.25" customHeight="1">
      <c r="A789" s="5"/>
    </row>
    <row r="790" ht="14.25" customHeight="1">
      <c r="A790" s="5"/>
    </row>
    <row r="791" ht="14.25" customHeight="1">
      <c r="A791" s="5"/>
    </row>
    <row r="792" ht="14.25" customHeight="1">
      <c r="A792" s="5"/>
    </row>
    <row r="793" ht="14.25" customHeight="1">
      <c r="A793" s="5"/>
    </row>
    <row r="794" ht="14.25" customHeight="1">
      <c r="A794" s="5"/>
    </row>
    <row r="795" ht="14.25" customHeight="1">
      <c r="A795" s="5"/>
    </row>
    <row r="796" ht="14.25" customHeight="1">
      <c r="A796" s="5"/>
    </row>
    <row r="797" ht="14.25" customHeight="1">
      <c r="A797" s="5"/>
    </row>
    <row r="798" ht="14.25" customHeight="1">
      <c r="A798" s="5"/>
    </row>
    <row r="799" ht="14.25" customHeight="1">
      <c r="A799" s="5"/>
    </row>
    <row r="800" ht="14.25" customHeight="1">
      <c r="A800" s="5"/>
    </row>
    <row r="801" ht="14.25" customHeight="1">
      <c r="A801" s="5"/>
    </row>
    <row r="802" ht="14.25" customHeight="1">
      <c r="A802" s="5"/>
    </row>
    <row r="803" ht="14.25" customHeight="1">
      <c r="A803" s="5"/>
    </row>
    <row r="804" ht="14.25" customHeight="1">
      <c r="A804" s="5"/>
    </row>
    <row r="805" ht="14.25" customHeight="1">
      <c r="A805" s="5"/>
    </row>
    <row r="806" ht="14.25" customHeight="1">
      <c r="A806" s="5"/>
    </row>
    <row r="807" ht="14.25" customHeight="1">
      <c r="A807" s="5"/>
    </row>
    <row r="808" ht="14.25" customHeight="1">
      <c r="A808" s="5"/>
    </row>
    <row r="809" ht="14.25" customHeight="1">
      <c r="A809" s="5"/>
    </row>
    <row r="810" ht="14.25" customHeight="1">
      <c r="A810" s="5"/>
    </row>
    <row r="811" ht="14.25" customHeight="1">
      <c r="A811" s="5"/>
    </row>
    <row r="812" ht="14.25" customHeight="1">
      <c r="A812" s="5"/>
    </row>
    <row r="813" ht="14.25" customHeight="1">
      <c r="A813" s="5"/>
    </row>
    <row r="814" ht="14.25" customHeight="1">
      <c r="A814" s="5"/>
    </row>
    <row r="815" ht="14.25" customHeight="1">
      <c r="A815" s="5"/>
    </row>
    <row r="816" ht="14.25" customHeight="1">
      <c r="A816" s="5"/>
    </row>
    <row r="817" ht="14.25" customHeight="1">
      <c r="A817" s="5"/>
    </row>
    <row r="818" ht="14.25" customHeight="1">
      <c r="A818" s="5"/>
    </row>
    <row r="819" ht="14.25" customHeight="1">
      <c r="A819" s="5"/>
    </row>
    <row r="820" ht="14.25" customHeight="1">
      <c r="A820" s="5"/>
    </row>
    <row r="821" ht="14.25" customHeight="1">
      <c r="A821" s="5"/>
    </row>
    <row r="822" ht="14.25" customHeight="1">
      <c r="A822" s="5"/>
    </row>
    <row r="823" ht="14.25" customHeight="1">
      <c r="A823" s="5"/>
    </row>
    <row r="824" ht="14.25" customHeight="1">
      <c r="A824" s="5"/>
    </row>
    <row r="825" ht="14.25" customHeight="1">
      <c r="A825" s="5"/>
    </row>
    <row r="826" ht="14.25" customHeight="1">
      <c r="A826" s="5"/>
    </row>
    <row r="827" ht="14.25" customHeight="1">
      <c r="A827" s="5"/>
    </row>
    <row r="828" ht="14.25" customHeight="1">
      <c r="A828" s="5"/>
    </row>
    <row r="829" ht="14.25" customHeight="1">
      <c r="A829" s="5"/>
    </row>
    <row r="830" ht="14.25" customHeight="1">
      <c r="A830" s="5"/>
    </row>
    <row r="831" ht="14.25" customHeight="1">
      <c r="A831" s="5"/>
    </row>
    <row r="832" ht="14.25" customHeight="1">
      <c r="A832" s="5"/>
    </row>
    <row r="833" ht="14.25" customHeight="1">
      <c r="A833" s="5"/>
    </row>
    <row r="834" ht="14.25" customHeight="1">
      <c r="A834" s="5"/>
    </row>
    <row r="835" ht="14.25" customHeight="1">
      <c r="A835" s="5"/>
    </row>
    <row r="836" ht="14.25" customHeight="1">
      <c r="A836" s="5"/>
    </row>
    <row r="837" ht="14.25" customHeight="1">
      <c r="A837" s="5"/>
    </row>
    <row r="838" ht="14.25" customHeight="1">
      <c r="A838" s="5"/>
    </row>
    <row r="839" ht="14.25" customHeight="1">
      <c r="A839" s="5"/>
    </row>
    <row r="840" ht="14.25" customHeight="1">
      <c r="A840" s="5"/>
    </row>
    <row r="841" ht="14.25" customHeight="1">
      <c r="A841" s="5"/>
    </row>
    <row r="842" ht="14.25" customHeight="1">
      <c r="A842" s="5"/>
    </row>
    <row r="843" ht="14.25" customHeight="1">
      <c r="A843" s="5"/>
    </row>
    <row r="844" ht="14.25" customHeight="1">
      <c r="A844" s="5"/>
    </row>
    <row r="845" ht="14.25" customHeight="1">
      <c r="A845" s="5"/>
    </row>
    <row r="846" ht="14.25" customHeight="1">
      <c r="A846" s="5"/>
    </row>
    <row r="847" ht="14.25" customHeight="1">
      <c r="A847" s="5"/>
    </row>
    <row r="848" ht="14.25" customHeight="1">
      <c r="A848" s="5"/>
    </row>
    <row r="849" ht="14.25" customHeight="1">
      <c r="A849" s="5"/>
    </row>
    <row r="850" ht="14.25" customHeight="1">
      <c r="A850" s="5"/>
    </row>
    <row r="851" ht="14.25" customHeight="1">
      <c r="A851" s="5"/>
    </row>
    <row r="852" ht="14.25" customHeight="1">
      <c r="A852" s="5"/>
    </row>
    <row r="853" ht="14.25" customHeight="1">
      <c r="A853" s="5"/>
    </row>
    <row r="854" ht="14.25" customHeight="1">
      <c r="A854" s="5"/>
    </row>
    <row r="855" ht="14.25" customHeight="1">
      <c r="A855" s="5"/>
    </row>
    <row r="856" ht="14.25" customHeight="1">
      <c r="A856" s="5"/>
    </row>
    <row r="857" ht="14.25" customHeight="1">
      <c r="A857" s="5"/>
    </row>
    <row r="858" ht="14.25" customHeight="1">
      <c r="A858" s="5"/>
    </row>
    <row r="859" ht="14.25" customHeight="1">
      <c r="A859" s="5"/>
    </row>
    <row r="860" ht="14.25" customHeight="1">
      <c r="A860" s="5"/>
    </row>
    <row r="861" ht="14.25" customHeight="1">
      <c r="A861" s="5"/>
    </row>
    <row r="862" ht="14.25" customHeight="1">
      <c r="A862" s="5"/>
    </row>
    <row r="863" ht="14.25" customHeight="1">
      <c r="A863" s="5"/>
    </row>
    <row r="864" ht="14.25" customHeight="1">
      <c r="A864" s="5"/>
    </row>
    <row r="865" ht="14.25" customHeight="1">
      <c r="A865" s="5"/>
    </row>
    <row r="866" ht="14.25" customHeight="1">
      <c r="A866" s="5"/>
    </row>
    <row r="867" ht="14.25" customHeight="1">
      <c r="A867" s="5"/>
    </row>
    <row r="868" ht="14.25" customHeight="1">
      <c r="A868" s="5"/>
    </row>
    <row r="869" ht="14.25" customHeight="1">
      <c r="A869" s="5"/>
    </row>
    <row r="870" ht="14.25" customHeight="1">
      <c r="A870" s="5"/>
    </row>
    <row r="871" ht="14.25" customHeight="1">
      <c r="A871" s="5"/>
    </row>
    <row r="872" ht="14.25" customHeight="1">
      <c r="A872" s="5"/>
    </row>
    <row r="873" ht="14.25" customHeight="1">
      <c r="A873" s="5"/>
    </row>
    <row r="874" ht="14.25" customHeight="1">
      <c r="A874" s="5"/>
    </row>
    <row r="875" ht="14.25" customHeight="1">
      <c r="A875" s="5"/>
    </row>
    <row r="876" ht="14.25" customHeight="1">
      <c r="A876" s="5"/>
    </row>
    <row r="877" ht="14.25" customHeight="1">
      <c r="A877" s="5"/>
    </row>
    <row r="878" ht="14.25" customHeight="1">
      <c r="A878" s="5"/>
    </row>
    <row r="879" ht="14.25" customHeight="1">
      <c r="A879" s="5"/>
    </row>
    <row r="880" ht="14.25" customHeight="1">
      <c r="A880" s="5"/>
    </row>
    <row r="881" ht="14.25" customHeight="1">
      <c r="A881" s="5"/>
    </row>
    <row r="882" ht="14.25" customHeight="1">
      <c r="A882" s="5"/>
    </row>
    <row r="883" ht="14.25" customHeight="1">
      <c r="A883" s="5"/>
    </row>
    <row r="884" ht="14.25" customHeight="1">
      <c r="A884" s="5"/>
    </row>
    <row r="885" ht="14.25" customHeight="1">
      <c r="A885" s="5"/>
    </row>
    <row r="886" ht="14.25" customHeight="1">
      <c r="A886" s="5"/>
    </row>
    <row r="887" ht="14.25" customHeight="1">
      <c r="A887" s="5"/>
    </row>
    <row r="888" ht="14.25" customHeight="1">
      <c r="A888" s="5"/>
    </row>
    <row r="889" ht="14.25" customHeight="1">
      <c r="A889" s="5"/>
    </row>
    <row r="890" ht="14.25" customHeight="1">
      <c r="A890" s="5"/>
    </row>
    <row r="891" ht="14.25" customHeight="1">
      <c r="A891" s="5"/>
    </row>
    <row r="892" ht="14.25" customHeight="1">
      <c r="A892" s="5"/>
    </row>
    <row r="893" ht="14.25" customHeight="1">
      <c r="A893" s="5"/>
    </row>
    <row r="894" ht="14.25" customHeight="1">
      <c r="A894" s="5"/>
    </row>
    <row r="895" ht="14.25" customHeight="1">
      <c r="A895" s="5"/>
    </row>
    <row r="896" ht="14.25" customHeight="1">
      <c r="A896" s="5"/>
    </row>
    <row r="897" ht="14.25" customHeight="1">
      <c r="A897" s="5"/>
    </row>
    <row r="898" ht="14.25" customHeight="1">
      <c r="A898" s="5"/>
    </row>
    <row r="899" ht="14.25" customHeight="1">
      <c r="A899" s="5"/>
    </row>
    <row r="900" ht="14.25" customHeight="1">
      <c r="A900" s="5"/>
    </row>
    <row r="901" ht="14.25" customHeight="1">
      <c r="A901" s="5"/>
    </row>
    <row r="902" ht="14.25" customHeight="1">
      <c r="A902" s="5"/>
    </row>
    <row r="903" ht="14.25" customHeight="1">
      <c r="A903" s="5"/>
    </row>
    <row r="904" ht="14.25" customHeight="1">
      <c r="A904" s="5"/>
    </row>
    <row r="905" ht="14.25" customHeight="1">
      <c r="A905" s="5"/>
    </row>
    <row r="906" ht="14.25" customHeight="1">
      <c r="A906" s="5"/>
    </row>
    <row r="907" ht="14.25" customHeight="1">
      <c r="A907" s="5"/>
    </row>
    <row r="908" ht="14.25" customHeight="1">
      <c r="A908" s="5"/>
    </row>
    <row r="909" ht="14.25" customHeight="1">
      <c r="A909" s="5"/>
    </row>
    <row r="910" ht="14.25" customHeight="1">
      <c r="A910" s="5"/>
    </row>
    <row r="911" ht="14.25" customHeight="1">
      <c r="A911" s="5"/>
    </row>
    <row r="912" ht="14.25" customHeight="1">
      <c r="A912" s="5"/>
    </row>
    <row r="913" ht="14.25" customHeight="1">
      <c r="A913" s="5"/>
    </row>
    <row r="914" ht="14.25" customHeight="1">
      <c r="A914" s="5"/>
    </row>
    <row r="915" ht="14.25" customHeight="1">
      <c r="A915" s="5"/>
    </row>
    <row r="916" ht="14.25" customHeight="1">
      <c r="A916" s="5"/>
    </row>
    <row r="917" ht="14.25" customHeight="1">
      <c r="A917" s="5"/>
    </row>
    <row r="918" ht="14.25" customHeight="1">
      <c r="A918" s="5"/>
    </row>
    <row r="919" ht="14.25" customHeight="1">
      <c r="A919" s="5"/>
    </row>
    <row r="920" ht="14.25" customHeight="1">
      <c r="A920" s="5"/>
    </row>
    <row r="921" ht="14.25" customHeight="1">
      <c r="A921" s="5"/>
    </row>
    <row r="922" ht="14.25" customHeight="1">
      <c r="A922" s="5"/>
    </row>
    <row r="923" ht="14.25" customHeight="1">
      <c r="A923" s="5"/>
    </row>
    <row r="924" ht="14.25" customHeight="1">
      <c r="A924" s="5"/>
    </row>
    <row r="925" ht="14.25" customHeight="1">
      <c r="A925" s="5"/>
    </row>
    <row r="926" ht="14.25" customHeight="1">
      <c r="A926" s="5"/>
    </row>
    <row r="927" ht="14.25" customHeight="1">
      <c r="A927" s="5"/>
    </row>
    <row r="928" ht="14.25" customHeight="1">
      <c r="A928" s="5"/>
    </row>
    <row r="929" ht="14.25" customHeight="1">
      <c r="A929" s="5"/>
    </row>
    <row r="930" ht="14.25" customHeight="1">
      <c r="A930" s="5"/>
    </row>
    <row r="931" ht="14.25" customHeight="1">
      <c r="A931" s="5"/>
    </row>
    <row r="932" ht="14.25" customHeight="1">
      <c r="A932" s="5"/>
    </row>
    <row r="933" ht="14.25" customHeight="1">
      <c r="A933" s="5"/>
    </row>
    <row r="934" ht="14.25" customHeight="1">
      <c r="A934" s="5"/>
    </row>
    <row r="935" ht="14.25" customHeight="1">
      <c r="A935" s="5"/>
    </row>
    <row r="936" ht="14.25" customHeight="1">
      <c r="A936" s="5"/>
    </row>
    <row r="937" ht="14.25" customHeight="1">
      <c r="A937" s="5"/>
    </row>
    <row r="938" ht="14.25" customHeight="1">
      <c r="A938" s="5"/>
    </row>
    <row r="939" ht="14.25" customHeight="1">
      <c r="A939" s="5"/>
    </row>
    <row r="940" ht="14.25" customHeight="1">
      <c r="A940" s="5"/>
    </row>
    <row r="941" ht="14.25" customHeight="1">
      <c r="A941" s="5"/>
    </row>
    <row r="942" ht="14.25" customHeight="1">
      <c r="A942" s="5"/>
    </row>
    <row r="943" ht="14.25" customHeight="1">
      <c r="A943" s="5"/>
    </row>
    <row r="944" ht="14.25" customHeight="1">
      <c r="A944" s="5"/>
    </row>
    <row r="945" ht="14.25" customHeight="1">
      <c r="A945" s="5"/>
    </row>
    <row r="946" ht="14.25" customHeight="1">
      <c r="A946" s="5"/>
    </row>
    <row r="947" ht="14.25" customHeight="1">
      <c r="A947" s="5"/>
    </row>
    <row r="948" ht="14.25" customHeight="1">
      <c r="A948" s="5"/>
    </row>
    <row r="949" ht="14.25" customHeight="1">
      <c r="A949" s="5"/>
    </row>
    <row r="950" ht="14.25" customHeight="1">
      <c r="A950" s="5"/>
    </row>
    <row r="951" ht="14.25" customHeight="1">
      <c r="A951" s="5"/>
    </row>
    <row r="952" ht="14.25" customHeight="1">
      <c r="A952" s="5"/>
    </row>
    <row r="953" ht="14.25" customHeight="1">
      <c r="A953" s="5"/>
    </row>
    <row r="954" ht="14.25" customHeight="1">
      <c r="A954" s="5"/>
    </row>
    <row r="955" ht="14.25" customHeight="1">
      <c r="A955" s="5"/>
    </row>
    <row r="956" ht="14.25" customHeight="1">
      <c r="A956" s="5"/>
    </row>
    <row r="957" ht="14.25" customHeight="1">
      <c r="A957" s="5"/>
    </row>
    <row r="958" ht="14.25" customHeight="1">
      <c r="A958" s="5"/>
    </row>
    <row r="959" ht="14.25" customHeight="1">
      <c r="A959" s="5"/>
    </row>
    <row r="960" ht="14.25" customHeight="1">
      <c r="A960" s="5"/>
    </row>
    <row r="961" ht="14.25" customHeight="1">
      <c r="A961" s="5"/>
    </row>
    <row r="962" ht="14.25" customHeight="1">
      <c r="A962" s="5"/>
    </row>
    <row r="963" ht="14.25" customHeight="1">
      <c r="A963" s="5"/>
    </row>
    <row r="964" ht="14.25" customHeight="1">
      <c r="A964" s="5"/>
    </row>
    <row r="965" ht="14.25" customHeight="1">
      <c r="A965" s="5"/>
    </row>
    <row r="966" ht="14.25" customHeight="1">
      <c r="A966" s="5"/>
    </row>
    <row r="967" ht="14.25" customHeight="1">
      <c r="A967" s="5"/>
    </row>
    <row r="968" ht="14.25" customHeight="1">
      <c r="A968" s="5"/>
    </row>
    <row r="969" ht="14.25" customHeight="1">
      <c r="A969" s="5"/>
    </row>
    <row r="970" ht="14.25" customHeight="1">
      <c r="A970" s="5"/>
    </row>
    <row r="971" ht="14.25" customHeight="1">
      <c r="A971" s="5"/>
    </row>
    <row r="972" ht="14.25" customHeight="1">
      <c r="A972" s="5"/>
    </row>
    <row r="973" ht="14.25" customHeight="1">
      <c r="A973" s="5"/>
    </row>
    <row r="974" ht="14.25" customHeight="1">
      <c r="A974" s="5"/>
    </row>
    <row r="975" ht="14.25" customHeight="1">
      <c r="A975" s="5"/>
    </row>
    <row r="976" ht="14.25" customHeight="1">
      <c r="A976" s="5"/>
    </row>
    <row r="977" ht="14.25" customHeight="1">
      <c r="A977" s="5"/>
    </row>
    <row r="978" ht="14.25" customHeight="1">
      <c r="A978" s="5"/>
    </row>
    <row r="979" ht="14.25" customHeight="1">
      <c r="A979" s="5"/>
    </row>
    <row r="980" ht="14.25" customHeight="1">
      <c r="A980" s="5"/>
    </row>
    <row r="981" ht="14.25" customHeight="1">
      <c r="A981" s="5"/>
    </row>
    <row r="982" ht="14.25" customHeight="1">
      <c r="A982" s="5"/>
    </row>
    <row r="983" ht="14.25" customHeight="1">
      <c r="A983" s="5"/>
    </row>
    <row r="984" ht="14.25" customHeight="1">
      <c r="A984" s="5"/>
    </row>
    <row r="985" ht="14.25" customHeight="1">
      <c r="A985" s="5"/>
    </row>
    <row r="986" ht="14.25" customHeight="1">
      <c r="A986" s="5"/>
    </row>
    <row r="987" ht="14.25" customHeight="1">
      <c r="A987" s="5"/>
    </row>
    <row r="988" ht="14.25" customHeight="1">
      <c r="A988" s="5"/>
    </row>
    <row r="989" ht="14.25" customHeight="1">
      <c r="A989" s="5"/>
    </row>
    <row r="990" ht="14.25" customHeight="1">
      <c r="A990" s="5"/>
    </row>
    <row r="991" ht="14.25" customHeight="1">
      <c r="A991" s="5"/>
    </row>
    <row r="992" ht="14.25" customHeight="1">
      <c r="A992" s="5"/>
    </row>
    <row r="993" ht="14.25" customHeight="1">
      <c r="A993" s="5"/>
    </row>
    <row r="994" ht="14.25" customHeight="1">
      <c r="A994" s="5"/>
    </row>
    <row r="995" ht="14.25" customHeight="1">
      <c r="A995" s="5"/>
    </row>
    <row r="996" ht="14.25" customHeight="1">
      <c r="A996" s="5"/>
    </row>
    <row r="997" ht="14.25" customHeight="1">
      <c r="A997" s="5"/>
    </row>
    <row r="998" ht="14.25" customHeight="1">
      <c r="A998" s="5"/>
    </row>
    <row r="999" ht="14.25" customHeight="1">
      <c r="A999" s="5"/>
    </row>
    <row r="1000" ht="14.25" customHeight="1">
      <c r="A1000" s="5"/>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8.14"/>
    <col customWidth="1" min="2" max="7" width="9.0"/>
    <col customWidth="1" min="8" max="8" width="10.43"/>
    <col customWidth="1" min="9" max="9" width="10.71"/>
    <col customWidth="1" min="10" max="26" width="8.71"/>
  </cols>
  <sheetData>
    <row r="1" ht="60.0" customHeight="1">
      <c r="A1" s="6" t="s">
        <v>11</v>
      </c>
      <c r="B1" s="7">
        <f t="shared" ref="B1:H1" si="1">+C1-1</f>
        <v>2015</v>
      </c>
      <c r="C1" s="7">
        <f t="shared" si="1"/>
        <v>2016</v>
      </c>
      <c r="D1" s="7">
        <f t="shared" si="1"/>
        <v>2017</v>
      </c>
      <c r="E1" s="7">
        <f t="shared" si="1"/>
        <v>2018</v>
      </c>
      <c r="F1" s="7">
        <f t="shared" si="1"/>
        <v>2019</v>
      </c>
      <c r="G1" s="7">
        <f t="shared" si="1"/>
        <v>2020</v>
      </c>
      <c r="H1" s="7">
        <f t="shared" si="1"/>
        <v>2021</v>
      </c>
      <c r="I1" s="7">
        <v>2022.0</v>
      </c>
    </row>
    <row r="2" ht="14.25" customHeight="1">
      <c r="A2" s="8" t="s">
        <v>12</v>
      </c>
      <c r="B2" s="9">
        <v>30601.0</v>
      </c>
      <c r="C2" s="9">
        <v>32376.0</v>
      </c>
      <c r="D2" s="9">
        <v>34350.0</v>
      </c>
      <c r="E2" s="9">
        <v>36397.0</v>
      </c>
      <c r="F2" s="9">
        <v>39117.0</v>
      </c>
      <c r="G2" s="9">
        <v>37403.0</v>
      </c>
      <c r="H2" s="9">
        <v>44538.0</v>
      </c>
      <c r="I2" s="9">
        <v>46710.0</v>
      </c>
    </row>
    <row r="3" ht="14.25" customHeight="1">
      <c r="A3" s="10" t="s">
        <v>13</v>
      </c>
      <c r="B3" s="11">
        <v>16534.0</v>
      </c>
      <c r="C3" s="11">
        <v>17405.0</v>
      </c>
      <c r="D3" s="11">
        <v>19038.0</v>
      </c>
      <c r="E3" s="11">
        <v>20441.0</v>
      </c>
      <c r="F3" s="11">
        <v>21643.0</v>
      </c>
      <c r="G3" s="11">
        <v>21162.0</v>
      </c>
      <c r="H3" s="11">
        <v>24576.0</v>
      </c>
      <c r="I3" s="11">
        <v>25231.0</v>
      </c>
    </row>
    <row r="4" ht="14.25" customHeight="1">
      <c r="A4" s="2" t="s">
        <v>14</v>
      </c>
      <c r="B4" s="12">
        <f>+B2-B3</f>
        <v>14067</v>
      </c>
      <c r="C4" s="12">
        <f>C2-C3</f>
        <v>14971</v>
      </c>
      <c r="D4" s="12">
        <f t="shared" ref="D4:I4" si="2">+D2-D3</f>
        <v>15312</v>
      </c>
      <c r="E4" s="12">
        <f t="shared" si="2"/>
        <v>15956</v>
      </c>
      <c r="F4" s="12">
        <f t="shared" si="2"/>
        <v>17474</v>
      </c>
      <c r="G4" s="12">
        <f t="shared" si="2"/>
        <v>16241</v>
      </c>
      <c r="H4" s="12">
        <f t="shared" si="2"/>
        <v>19962</v>
      </c>
      <c r="I4" s="12">
        <f t="shared" si="2"/>
        <v>21479</v>
      </c>
      <c r="J4" s="2"/>
      <c r="K4" s="2"/>
      <c r="L4" s="2"/>
      <c r="M4" s="2"/>
      <c r="N4" s="2"/>
      <c r="O4" s="2"/>
      <c r="P4" s="2"/>
      <c r="Q4" s="2"/>
      <c r="R4" s="2"/>
      <c r="S4" s="2"/>
      <c r="T4" s="2"/>
      <c r="U4" s="2"/>
      <c r="V4" s="2"/>
      <c r="W4" s="2"/>
      <c r="X4" s="2"/>
      <c r="Y4" s="2"/>
      <c r="Z4" s="2"/>
    </row>
    <row r="5" ht="14.25" customHeight="1">
      <c r="A5" s="4" t="s">
        <v>15</v>
      </c>
      <c r="B5" s="9">
        <v>3213.0</v>
      </c>
      <c r="C5" s="9">
        <v>3278.0</v>
      </c>
      <c r="D5" s="9">
        <v>3341.0</v>
      </c>
      <c r="E5" s="9">
        <v>3577.0</v>
      </c>
      <c r="F5" s="9">
        <v>3753.0</v>
      </c>
      <c r="G5" s="9">
        <v>3592.0</v>
      </c>
      <c r="H5" s="9">
        <v>3114.0</v>
      </c>
      <c r="I5" s="9">
        <v>3850.0</v>
      </c>
    </row>
    <row r="6" ht="14.25" customHeight="1">
      <c r="A6" s="4" t="s">
        <v>16</v>
      </c>
      <c r="B6" s="9">
        <v>6679.0</v>
      </c>
      <c r="C6" s="9">
        <v>7191.0</v>
      </c>
      <c r="D6" s="9">
        <v>7222.0</v>
      </c>
      <c r="E6" s="9">
        <v>7934.0</v>
      </c>
      <c r="F6" s="9">
        <v>8949.0</v>
      </c>
      <c r="G6" s="9">
        <v>9534.0</v>
      </c>
      <c r="H6" s="9">
        <v>9911.0</v>
      </c>
      <c r="I6" s="9">
        <v>10954.0</v>
      </c>
    </row>
    <row r="7" ht="14.25" customHeight="1">
      <c r="A7" s="13" t="s">
        <v>17</v>
      </c>
      <c r="B7" s="14">
        <f t="shared" ref="B7:I7" si="3">+B5+B6</f>
        <v>9892</v>
      </c>
      <c r="C7" s="14">
        <f t="shared" si="3"/>
        <v>10469</v>
      </c>
      <c r="D7" s="14">
        <f t="shared" si="3"/>
        <v>10563</v>
      </c>
      <c r="E7" s="14">
        <f t="shared" si="3"/>
        <v>11511</v>
      </c>
      <c r="F7" s="14">
        <f t="shared" si="3"/>
        <v>12702</v>
      </c>
      <c r="G7" s="14">
        <f t="shared" si="3"/>
        <v>13126</v>
      </c>
      <c r="H7" s="14">
        <f t="shared" si="3"/>
        <v>13025</v>
      </c>
      <c r="I7" s="14">
        <f t="shared" si="3"/>
        <v>14804</v>
      </c>
    </row>
    <row r="8" ht="14.25" customHeight="1">
      <c r="A8" s="4" t="s">
        <v>18</v>
      </c>
      <c r="B8" s="9">
        <v>28.0</v>
      </c>
      <c r="C8" s="9">
        <v>19.0</v>
      </c>
      <c r="D8" s="9">
        <v>59.0</v>
      </c>
      <c r="E8" s="9">
        <v>54.0</v>
      </c>
      <c r="F8" s="9">
        <v>49.0</v>
      </c>
      <c r="G8" s="9">
        <v>89.0</v>
      </c>
      <c r="H8" s="9">
        <v>262.0</v>
      </c>
      <c r="I8" s="9">
        <v>205.0</v>
      </c>
    </row>
    <row r="9" ht="14.25" customHeight="1">
      <c r="A9" s="4" t="s">
        <v>19</v>
      </c>
      <c r="B9" s="9">
        <v>-58.0</v>
      </c>
      <c r="C9" s="9">
        <v>-140.0</v>
      </c>
      <c r="D9" s="9">
        <v>-196.0</v>
      </c>
      <c r="E9" s="15">
        <v>66.0</v>
      </c>
      <c r="F9" s="9">
        <v>-78.0</v>
      </c>
      <c r="G9" s="9">
        <v>139.0</v>
      </c>
      <c r="H9" s="9">
        <v>14.0</v>
      </c>
      <c r="I9" s="9">
        <v>-181.0</v>
      </c>
    </row>
    <row r="10" ht="14.25" customHeight="1">
      <c r="A10" s="16" t="s">
        <v>20</v>
      </c>
      <c r="B10" s="17">
        <f t="shared" ref="B10:I10" si="4">+B4-B7-B8-B9</f>
        <v>4205</v>
      </c>
      <c r="C10" s="17">
        <f t="shared" si="4"/>
        <v>4623</v>
      </c>
      <c r="D10" s="17">
        <f t="shared" si="4"/>
        <v>4886</v>
      </c>
      <c r="E10" s="17">
        <f t="shared" si="4"/>
        <v>4325</v>
      </c>
      <c r="F10" s="17">
        <f t="shared" si="4"/>
        <v>4801</v>
      </c>
      <c r="G10" s="17">
        <f t="shared" si="4"/>
        <v>2887</v>
      </c>
      <c r="H10" s="17">
        <f t="shared" si="4"/>
        <v>6661</v>
      </c>
      <c r="I10" s="17">
        <f t="shared" si="4"/>
        <v>6651</v>
      </c>
    </row>
    <row r="11" ht="14.25" customHeight="1">
      <c r="A11" s="4" t="s">
        <v>21</v>
      </c>
      <c r="B11" s="9">
        <v>932.0</v>
      </c>
      <c r="C11" s="9">
        <v>863.0</v>
      </c>
      <c r="D11" s="9">
        <v>646.0</v>
      </c>
      <c r="E11" s="9">
        <v>2392.0</v>
      </c>
      <c r="F11" s="9">
        <v>772.0</v>
      </c>
      <c r="G11" s="9">
        <v>348.0</v>
      </c>
      <c r="H11" s="9">
        <v>934.0</v>
      </c>
      <c r="I11" s="9">
        <v>605.0</v>
      </c>
    </row>
    <row r="12" ht="14.25" customHeight="1">
      <c r="A12" s="18" t="s">
        <v>22</v>
      </c>
      <c r="B12" s="19">
        <f t="shared" ref="B12:I12" si="5">+B10-B11</f>
        <v>3273</v>
      </c>
      <c r="C12" s="19">
        <f t="shared" si="5"/>
        <v>3760</v>
      </c>
      <c r="D12" s="19">
        <f t="shared" si="5"/>
        <v>4240</v>
      </c>
      <c r="E12" s="19">
        <f t="shared" si="5"/>
        <v>1933</v>
      </c>
      <c r="F12" s="19">
        <f t="shared" si="5"/>
        <v>4029</v>
      </c>
      <c r="G12" s="19">
        <f t="shared" si="5"/>
        <v>2539</v>
      </c>
      <c r="H12" s="19">
        <f t="shared" si="5"/>
        <v>5727</v>
      </c>
      <c r="I12" s="19">
        <f t="shared" si="5"/>
        <v>6046</v>
      </c>
    </row>
    <row r="13" ht="14.25" customHeight="1">
      <c r="A13" s="2" t="s">
        <v>23</v>
      </c>
      <c r="B13" s="20"/>
      <c r="C13" s="20"/>
      <c r="D13" s="20"/>
      <c r="E13" s="20"/>
      <c r="F13" s="20"/>
      <c r="G13" s="20"/>
      <c r="H13" s="20"/>
      <c r="I13" s="20"/>
    </row>
    <row r="14" ht="14.25" customHeight="1">
      <c r="A14" s="4" t="s">
        <v>24</v>
      </c>
      <c r="B14" s="21">
        <v>1.9</v>
      </c>
      <c r="C14" s="21">
        <v>2.21</v>
      </c>
      <c r="D14" s="21">
        <v>2.56</v>
      </c>
      <c r="E14" s="21">
        <v>1.19</v>
      </c>
      <c r="F14" s="21">
        <v>2.55</v>
      </c>
      <c r="G14" s="21">
        <v>1.63</v>
      </c>
      <c r="H14" s="21">
        <v>3.64</v>
      </c>
      <c r="I14" s="21">
        <v>3.83</v>
      </c>
    </row>
    <row r="15" ht="14.25" customHeight="1">
      <c r="A15" s="4" t="s">
        <v>25</v>
      </c>
      <c r="B15" s="21">
        <v>1.85</v>
      </c>
      <c r="C15" s="21">
        <v>2.16</v>
      </c>
      <c r="D15" s="21">
        <v>2.51</v>
      </c>
      <c r="E15" s="21">
        <v>1.17</v>
      </c>
      <c r="F15" s="21">
        <v>2.49</v>
      </c>
      <c r="G15" s="21">
        <v>1.6</v>
      </c>
      <c r="H15" s="21">
        <v>3.56</v>
      </c>
      <c r="I15" s="21">
        <v>3.75</v>
      </c>
    </row>
    <row r="16" ht="14.25" customHeight="1">
      <c r="A16" s="2" t="s">
        <v>26</v>
      </c>
      <c r="B16" s="20"/>
      <c r="C16" s="20"/>
      <c r="D16" s="20"/>
      <c r="E16" s="20"/>
      <c r="F16" s="20"/>
      <c r="G16" s="20"/>
      <c r="H16" s="20"/>
      <c r="I16" s="20"/>
    </row>
    <row r="17" ht="14.25" customHeight="1">
      <c r="A17" s="4" t="s">
        <v>24</v>
      </c>
      <c r="B17" s="22">
        <v>1723.5</v>
      </c>
      <c r="C17" s="22">
        <v>1697.9</v>
      </c>
      <c r="D17" s="22">
        <v>1657.8</v>
      </c>
      <c r="E17" s="22">
        <v>1623.8</v>
      </c>
      <c r="F17" s="22">
        <v>1579.7</v>
      </c>
      <c r="G17" s="22">
        <v>1558.8</v>
      </c>
      <c r="H17" s="22">
        <v>1573.0</v>
      </c>
      <c r="I17" s="22">
        <v>1578.8</v>
      </c>
    </row>
    <row r="18" ht="14.25" customHeight="1">
      <c r="A18" s="4" t="s">
        <v>25</v>
      </c>
      <c r="B18" s="22">
        <v>1768.8</v>
      </c>
      <c r="C18" s="22">
        <v>1742.5</v>
      </c>
      <c r="D18" s="22">
        <v>1692.0</v>
      </c>
      <c r="E18" s="22">
        <v>1659.1</v>
      </c>
      <c r="F18" s="22">
        <v>1618.4</v>
      </c>
      <c r="G18" s="22">
        <v>1591.6</v>
      </c>
      <c r="H18" s="22">
        <v>1609.4</v>
      </c>
      <c r="I18" s="22">
        <v>1610.8</v>
      </c>
    </row>
    <row r="19" ht="14.25" customHeight="1"/>
    <row r="20" ht="14.25" customHeight="1">
      <c r="A20" s="23" t="s">
        <v>27</v>
      </c>
      <c r="B20" s="24">
        <f t="shared" ref="B20:I20" si="6">+ROUND(((B12/B18)-B15),2)</f>
        <v>0</v>
      </c>
      <c r="C20" s="24">
        <f t="shared" si="6"/>
        <v>0</v>
      </c>
      <c r="D20" s="24">
        <f t="shared" si="6"/>
        <v>0</v>
      </c>
      <c r="E20" s="24">
        <f t="shared" si="6"/>
        <v>0</v>
      </c>
      <c r="F20" s="24">
        <f t="shared" si="6"/>
        <v>0</v>
      </c>
      <c r="G20" s="24">
        <f t="shared" si="6"/>
        <v>0</v>
      </c>
      <c r="H20" s="24">
        <f t="shared" si="6"/>
        <v>0</v>
      </c>
      <c r="I20" s="24">
        <f t="shared" si="6"/>
        <v>0</v>
      </c>
      <c r="J20" s="23"/>
      <c r="K20" s="23"/>
      <c r="L20" s="23"/>
      <c r="M20" s="23"/>
      <c r="N20" s="23"/>
      <c r="O20" s="23"/>
      <c r="P20" s="23"/>
      <c r="Q20" s="23"/>
      <c r="R20" s="23"/>
      <c r="S20" s="23"/>
      <c r="T20" s="23"/>
      <c r="U20" s="23"/>
      <c r="V20" s="23"/>
      <c r="W20" s="23"/>
      <c r="X20" s="23"/>
      <c r="Y20" s="23"/>
      <c r="Z20" s="23"/>
    </row>
    <row r="21" ht="14.25" customHeight="1"/>
    <row r="22" ht="14.25" customHeight="1">
      <c r="A22" s="25" t="s">
        <v>28</v>
      </c>
      <c r="B22" s="25"/>
      <c r="C22" s="25"/>
      <c r="D22" s="25"/>
      <c r="E22" s="25"/>
      <c r="F22" s="25"/>
      <c r="G22" s="25"/>
      <c r="H22" s="25"/>
      <c r="I22" s="25"/>
    </row>
    <row r="23" ht="14.25" customHeight="1">
      <c r="A23" s="2" t="s">
        <v>29</v>
      </c>
    </row>
    <row r="24" ht="14.25" customHeight="1">
      <c r="A24" s="26" t="s">
        <v>30</v>
      </c>
      <c r="B24" s="27"/>
      <c r="C24" s="27"/>
      <c r="D24" s="27"/>
      <c r="E24" s="27"/>
      <c r="F24" s="27"/>
      <c r="G24" s="27"/>
      <c r="H24" s="27"/>
      <c r="I24" s="27"/>
    </row>
    <row r="25" ht="14.25" customHeight="1">
      <c r="A25" s="4" t="s">
        <v>31</v>
      </c>
      <c r="B25" s="9">
        <v>3852.0</v>
      </c>
      <c r="C25" s="9">
        <v>3138.0</v>
      </c>
      <c r="D25" s="9">
        <v>3808.0</v>
      </c>
      <c r="E25" s="9">
        <v>4249.0</v>
      </c>
      <c r="F25" s="9">
        <v>4466.0</v>
      </c>
      <c r="G25" s="9">
        <v>8348.0</v>
      </c>
      <c r="H25" s="9">
        <v>9889.0</v>
      </c>
      <c r="I25" s="9">
        <v>8574.0</v>
      </c>
    </row>
    <row r="26" ht="14.25" customHeight="1">
      <c r="A26" s="4" t="s">
        <v>32</v>
      </c>
      <c r="B26" s="9">
        <v>2072.0</v>
      </c>
      <c r="C26" s="9">
        <v>2319.0</v>
      </c>
      <c r="D26" s="9">
        <v>2371.0</v>
      </c>
      <c r="E26" s="9">
        <v>996.0</v>
      </c>
      <c r="F26" s="9">
        <v>197.0</v>
      </c>
      <c r="G26" s="9">
        <v>439.0</v>
      </c>
      <c r="H26" s="9">
        <v>3587.0</v>
      </c>
      <c r="I26" s="9">
        <v>4423.0</v>
      </c>
    </row>
    <row r="27" ht="14.25" customHeight="1">
      <c r="A27" s="4" t="s">
        <v>33</v>
      </c>
      <c r="B27" s="9">
        <v>3358.0</v>
      </c>
      <c r="C27" s="9">
        <v>3241.0</v>
      </c>
      <c r="D27" s="9">
        <v>3677.0</v>
      </c>
      <c r="E27" s="9">
        <v>3498.0</v>
      </c>
      <c r="F27" s="9">
        <v>4272.0</v>
      </c>
      <c r="G27" s="28">
        <v>2749.0</v>
      </c>
      <c r="H27" s="9">
        <v>4463.0</v>
      </c>
      <c r="I27" s="9">
        <v>4667.0</v>
      </c>
    </row>
    <row r="28" ht="14.25" customHeight="1">
      <c r="A28" s="4" t="s">
        <v>34</v>
      </c>
      <c r="B28" s="9">
        <v>4337.0</v>
      </c>
      <c r="C28" s="9">
        <v>4838.0</v>
      </c>
      <c r="D28" s="9">
        <v>5055.0</v>
      </c>
      <c r="E28" s="9">
        <v>5261.0</v>
      </c>
      <c r="F28" s="9">
        <v>5622.0</v>
      </c>
      <c r="G28" s="9">
        <v>7367.0</v>
      </c>
      <c r="H28" s="9">
        <v>6854.0</v>
      </c>
      <c r="I28" s="9">
        <v>8420.0</v>
      </c>
    </row>
    <row r="29" ht="14.25" customHeight="1">
      <c r="A29" s="4" t="s">
        <v>35</v>
      </c>
      <c r="B29" s="9">
        <v>1968.0</v>
      </c>
      <c r="C29" s="9">
        <v>1489.0</v>
      </c>
      <c r="D29" s="9">
        <v>1150.0</v>
      </c>
      <c r="E29" s="9">
        <v>1130.0</v>
      </c>
      <c r="F29" s="9">
        <v>1968.0</v>
      </c>
      <c r="G29" s="9">
        <v>1653.0</v>
      </c>
      <c r="H29" s="9">
        <v>1498.0</v>
      </c>
      <c r="I29" s="9">
        <v>2129.0</v>
      </c>
    </row>
    <row r="30" ht="14.25" customHeight="1">
      <c r="A30" s="16" t="s">
        <v>36</v>
      </c>
      <c r="B30" s="17">
        <f t="shared" ref="B30:I30" si="7">+SUM(B25:B29)</f>
        <v>15587</v>
      </c>
      <c r="C30" s="17">
        <f t="shared" si="7"/>
        <v>15025</v>
      </c>
      <c r="D30" s="17">
        <f t="shared" si="7"/>
        <v>16061</v>
      </c>
      <c r="E30" s="17">
        <f t="shared" si="7"/>
        <v>15134</v>
      </c>
      <c r="F30" s="17">
        <f t="shared" si="7"/>
        <v>16525</v>
      </c>
      <c r="G30" s="17">
        <f t="shared" si="7"/>
        <v>20556</v>
      </c>
      <c r="H30" s="17">
        <f t="shared" si="7"/>
        <v>26291</v>
      </c>
      <c r="I30" s="17">
        <f t="shared" si="7"/>
        <v>28213</v>
      </c>
    </row>
    <row r="31" ht="14.25" customHeight="1">
      <c r="A31" s="4" t="s">
        <v>37</v>
      </c>
      <c r="B31" s="9">
        <v>3011.0</v>
      </c>
      <c r="C31" s="9">
        <v>3520.0</v>
      </c>
      <c r="D31" s="9">
        <v>3989.0</v>
      </c>
      <c r="E31" s="9">
        <v>4454.0</v>
      </c>
      <c r="F31" s="9">
        <v>4744.0</v>
      </c>
      <c r="G31" s="9">
        <v>4866.0</v>
      </c>
      <c r="H31" s="9">
        <v>4904.0</v>
      </c>
      <c r="I31" s="9">
        <v>4791.0</v>
      </c>
    </row>
    <row r="32" ht="14.25" customHeight="1">
      <c r="A32" s="4" t="s">
        <v>38</v>
      </c>
      <c r="B32" s="29"/>
      <c r="C32" s="29"/>
      <c r="D32" s="29"/>
      <c r="E32" s="29"/>
      <c r="F32" s="29"/>
      <c r="G32" s="9">
        <v>3097.0</v>
      </c>
      <c r="H32" s="9">
        <v>3113.0</v>
      </c>
      <c r="I32" s="9">
        <v>2926.0</v>
      </c>
    </row>
    <row r="33" ht="14.25" customHeight="1">
      <c r="A33" s="4" t="s">
        <v>39</v>
      </c>
      <c r="B33" s="9">
        <v>281.0</v>
      </c>
      <c r="C33" s="9">
        <v>281.0</v>
      </c>
      <c r="D33" s="9">
        <v>283.0</v>
      </c>
      <c r="E33" s="9">
        <v>285.0</v>
      </c>
      <c r="F33" s="9">
        <v>283.0</v>
      </c>
      <c r="G33" s="9">
        <v>274.0</v>
      </c>
      <c r="H33" s="9">
        <v>269.0</v>
      </c>
      <c r="I33" s="9">
        <v>286.0</v>
      </c>
    </row>
    <row r="34" ht="14.25" customHeight="1">
      <c r="A34" s="4" t="s">
        <v>40</v>
      </c>
      <c r="B34" s="9">
        <v>131.0</v>
      </c>
      <c r="C34" s="9">
        <v>131.0</v>
      </c>
      <c r="D34" s="9">
        <v>139.0</v>
      </c>
      <c r="E34" s="9">
        <v>154.0</v>
      </c>
      <c r="F34" s="9">
        <v>154.0</v>
      </c>
      <c r="G34" s="9">
        <v>223.0</v>
      </c>
      <c r="H34" s="9">
        <v>242.0</v>
      </c>
      <c r="I34" s="9">
        <v>284.0</v>
      </c>
    </row>
    <row r="35" ht="14.25" customHeight="1">
      <c r="A35" s="4" t="s">
        <v>41</v>
      </c>
      <c r="B35" s="9">
        <v>2587.0</v>
      </c>
      <c r="C35" s="15">
        <v>2439.0</v>
      </c>
      <c r="D35" s="15">
        <v>2787.0</v>
      </c>
      <c r="E35" s="15">
        <v>2509.0</v>
      </c>
      <c r="F35" s="15">
        <v>2011.0</v>
      </c>
      <c r="G35" s="15">
        <v>2326.0</v>
      </c>
      <c r="H35" s="9">
        <v>2921.0</v>
      </c>
      <c r="I35" s="9">
        <v>3821.0</v>
      </c>
    </row>
    <row r="36" ht="14.25" customHeight="1">
      <c r="A36" s="18" t="s">
        <v>42</v>
      </c>
      <c r="B36" s="19">
        <f t="shared" ref="B36:I36" si="8">+SUM(B30:B35)</f>
        <v>21597</v>
      </c>
      <c r="C36" s="19">
        <f t="shared" si="8"/>
        <v>21396</v>
      </c>
      <c r="D36" s="19">
        <f t="shared" si="8"/>
        <v>23259</v>
      </c>
      <c r="E36" s="19">
        <f t="shared" si="8"/>
        <v>22536</v>
      </c>
      <c r="F36" s="19">
        <f t="shared" si="8"/>
        <v>23717</v>
      </c>
      <c r="G36" s="19">
        <f t="shared" si="8"/>
        <v>31342</v>
      </c>
      <c r="H36" s="19">
        <f t="shared" si="8"/>
        <v>37740</v>
      </c>
      <c r="I36" s="19">
        <f t="shared" si="8"/>
        <v>40321</v>
      </c>
    </row>
    <row r="37" ht="14.25" customHeight="1">
      <c r="A37" s="2" t="s">
        <v>43</v>
      </c>
      <c r="B37" s="29"/>
      <c r="C37" s="29"/>
      <c r="D37" s="29"/>
      <c r="E37" s="29"/>
      <c r="F37" s="29"/>
      <c r="G37" s="29"/>
      <c r="H37" s="29"/>
      <c r="I37" s="29"/>
    </row>
    <row r="38" ht="14.25" customHeight="1">
      <c r="A38" s="4" t="s">
        <v>44</v>
      </c>
      <c r="B38" s="29"/>
      <c r="C38" s="29"/>
      <c r="D38" s="29"/>
      <c r="E38" s="29"/>
      <c r="F38" s="29"/>
      <c r="G38" s="29"/>
      <c r="H38" s="29"/>
      <c r="I38" s="29"/>
    </row>
    <row r="39" ht="14.25" customHeight="1">
      <c r="A39" s="4" t="s">
        <v>45</v>
      </c>
      <c r="B39" s="9">
        <v>107.0</v>
      </c>
      <c r="C39" s="9">
        <v>44.0</v>
      </c>
      <c r="D39" s="9">
        <v>6.0</v>
      </c>
      <c r="E39" s="9">
        <v>6.0</v>
      </c>
      <c r="F39" s="9">
        <v>6.0</v>
      </c>
      <c r="G39" s="9">
        <v>3.0</v>
      </c>
      <c r="H39" s="9">
        <v>0.0</v>
      </c>
      <c r="I39" s="9">
        <v>500.0</v>
      </c>
    </row>
    <row r="40" ht="14.25" customHeight="1">
      <c r="A40" s="4" t="s">
        <v>46</v>
      </c>
      <c r="B40" s="9">
        <v>74.0</v>
      </c>
      <c r="C40" s="9">
        <v>1.0</v>
      </c>
      <c r="D40" s="9">
        <v>325.0</v>
      </c>
      <c r="E40" s="9">
        <v>336.0</v>
      </c>
      <c r="F40" s="9">
        <v>9.0</v>
      </c>
      <c r="G40" s="9">
        <v>248.0</v>
      </c>
      <c r="H40" s="9">
        <v>2.0</v>
      </c>
      <c r="I40" s="9">
        <v>10.0</v>
      </c>
    </row>
    <row r="41" ht="14.25" customHeight="1">
      <c r="A41" s="4" t="s">
        <v>47</v>
      </c>
      <c r="B41" s="9">
        <v>2131.0</v>
      </c>
      <c r="C41" s="9">
        <v>2191.0</v>
      </c>
      <c r="D41" s="9">
        <v>2048.0</v>
      </c>
      <c r="E41" s="9">
        <v>2279.0</v>
      </c>
      <c r="F41" s="9">
        <v>2612.0</v>
      </c>
      <c r="G41" s="9">
        <v>2248.0</v>
      </c>
      <c r="H41" s="9">
        <v>2836.0</v>
      </c>
      <c r="I41" s="9">
        <v>3358.0</v>
      </c>
    </row>
    <row r="42" ht="14.25" customHeight="1">
      <c r="A42" s="4" t="s">
        <v>48</v>
      </c>
      <c r="B42" s="29"/>
      <c r="C42" s="30"/>
      <c r="D42" s="29"/>
      <c r="E42" s="29"/>
      <c r="F42" s="29"/>
      <c r="G42" s="9">
        <v>445.0</v>
      </c>
      <c r="H42" s="9">
        <v>467.0</v>
      </c>
      <c r="I42" s="9">
        <v>420.0</v>
      </c>
    </row>
    <row r="43" ht="14.25" customHeight="1">
      <c r="A43" s="4" t="s">
        <v>49</v>
      </c>
      <c r="B43" s="9">
        <v>3949.0</v>
      </c>
      <c r="C43" s="9">
        <v>3037.0</v>
      </c>
      <c r="D43" s="9">
        <v>3011.0</v>
      </c>
      <c r="E43" s="9">
        <v>3269.0</v>
      </c>
      <c r="F43" s="9">
        <v>5010.0</v>
      </c>
      <c r="G43" s="9">
        <v>5184.0</v>
      </c>
      <c r="H43" s="9">
        <v>6063.0</v>
      </c>
      <c r="I43" s="9">
        <v>6220.0</v>
      </c>
    </row>
    <row r="44" ht="14.25" customHeight="1">
      <c r="A44" s="4" t="s">
        <v>50</v>
      </c>
      <c r="B44" s="9">
        <v>71.0</v>
      </c>
      <c r="C44" s="9">
        <v>85.0</v>
      </c>
      <c r="D44" s="9">
        <v>84.0</v>
      </c>
      <c r="E44" s="9">
        <v>150.0</v>
      </c>
      <c r="F44" s="9">
        <v>229.0</v>
      </c>
      <c r="G44" s="9">
        <v>156.0</v>
      </c>
      <c r="H44" s="9">
        <v>306.0</v>
      </c>
      <c r="I44" s="9">
        <v>222.0</v>
      </c>
    </row>
    <row r="45" ht="14.25" customHeight="1">
      <c r="A45" s="16" t="s">
        <v>51</v>
      </c>
      <c r="B45" s="17">
        <f t="shared" ref="B45:I45" si="9">+SUM(B39:B44)</f>
        <v>6332</v>
      </c>
      <c r="C45" s="17">
        <f t="shared" si="9"/>
        <v>5358</v>
      </c>
      <c r="D45" s="17">
        <f t="shared" si="9"/>
        <v>5474</v>
      </c>
      <c r="E45" s="17">
        <f t="shared" si="9"/>
        <v>6040</v>
      </c>
      <c r="F45" s="17">
        <f t="shared" si="9"/>
        <v>7866</v>
      </c>
      <c r="G45" s="17">
        <f t="shared" si="9"/>
        <v>8284</v>
      </c>
      <c r="H45" s="17">
        <f t="shared" si="9"/>
        <v>9674</v>
      </c>
      <c r="I45" s="17">
        <f t="shared" si="9"/>
        <v>10730</v>
      </c>
    </row>
    <row r="46" ht="14.25" customHeight="1">
      <c r="A46" s="4" t="s">
        <v>52</v>
      </c>
      <c r="B46" s="9">
        <v>1079.0</v>
      </c>
      <c r="C46" s="9">
        <v>2010.0</v>
      </c>
      <c r="D46" s="9">
        <v>3471.0</v>
      </c>
      <c r="E46" s="9">
        <v>3468.0</v>
      </c>
      <c r="F46" s="9">
        <v>3464.0</v>
      </c>
      <c r="G46" s="9">
        <v>9406.0</v>
      </c>
      <c r="H46" s="9">
        <v>9413.0</v>
      </c>
      <c r="I46" s="9">
        <v>8920.0</v>
      </c>
    </row>
    <row r="47" ht="14.25" customHeight="1">
      <c r="A47" s="4" t="s">
        <v>53</v>
      </c>
      <c r="B47" s="29"/>
      <c r="C47" s="29"/>
      <c r="D47" s="29"/>
      <c r="E47" s="30"/>
      <c r="F47" s="29"/>
      <c r="G47" s="9">
        <v>2913.0</v>
      </c>
      <c r="H47" s="9">
        <v>2931.0</v>
      </c>
      <c r="I47" s="9">
        <v>2777.0</v>
      </c>
    </row>
    <row r="48" ht="14.25" customHeight="1">
      <c r="A48" s="4" t="s">
        <v>54</v>
      </c>
      <c r="B48" s="9">
        <v>1479.0</v>
      </c>
      <c r="C48" s="9">
        <v>1770.0</v>
      </c>
      <c r="D48" s="9">
        <v>1907.0</v>
      </c>
      <c r="E48" s="9">
        <v>3216.0</v>
      </c>
      <c r="F48" s="9">
        <v>3347.0</v>
      </c>
      <c r="G48" s="9">
        <v>2684.0</v>
      </c>
      <c r="H48" s="9">
        <v>2955.0</v>
      </c>
      <c r="I48" s="9">
        <v>2613.0</v>
      </c>
    </row>
    <row r="49" ht="14.25" customHeight="1">
      <c r="A49" s="4" t="s">
        <v>55</v>
      </c>
      <c r="B49" s="29"/>
      <c r="C49" s="29"/>
      <c r="D49" s="29"/>
      <c r="E49" s="29"/>
      <c r="F49" s="29"/>
      <c r="G49" s="29"/>
      <c r="H49" s="29"/>
      <c r="I49" s="29"/>
    </row>
    <row r="50" ht="14.25" customHeight="1">
      <c r="A50" s="4" t="s">
        <v>56</v>
      </c>
      <c r="B50" s="29"/>
      <c r="C50" s="29"/>
      <c r="D50" s="29"/>
      <c r="E50" s="29"/>
      <c r="F50" s="29"/>
      <c r="G50" s="29"/>
      <c r="H50" s="9">
        <v>0.0</v>
      </c>
      <c r="I50" s="9">
        <v>0.0</v>
      </c>
    </row>
    <row r="51" ht="14.25" customHeight="1">
      <c r="A51" s="4" t="s">
        <v>57</v>
      </c>
      <c r="B51" s="29"/>
      <c r="C51" s="29"/>
      <c r="D51" s="29"/>
      <c r="E51" s="29"/>
      <c r="F51" s="29"/>
      <c r="G51" s="29"/>
      <c r="H51" s="29"/>
      <c r="I51" s="29"/>
    </row>
    <row r="52" ht="14.25" customHeight="1">
      <c r="A52" s="4" t="s">
        <v>58</v>
      </c>
      <c r="B52" s="29"/>
      <c r="C52" s="29"/>
      <c r="D52" s="29"/>
      <c r="E52" s="29"/>
      <c r="F52" s="29"/>
      <c r="G52" s="29"/>
      <c r="H52" s="29"/>
      <c r="I52" s="29"/>
    </row>
    <row r="53" ht="14.25" customHeight="1">
      <c r="A53" s="4" t="s">
        <v>59</v>
      </c>
      <c r="B53" s="29"/>
      <c r="C53" s="29"/>
      <c r="D53" s="29"/>
      <c r="E53" s="29"/>
      <c r="F53" s="29"/>
      <c r="G53" s="29"/>
      <c r="H53" s="29"/>
      <c r="I53" s="29"/>
    </row>
    <row r="54" ht="14.25" customHeight="1">
      <c r="A54" s="4" t="s">
        <v>60</v>
      </c>
      <c r="B54" s="9">
        <v>3.0</v>
      </c>
      <c r="C54" s="9">
        <v>3.0</v>
      </c>
      <c r="D54" s="9">
        <v>3.0</v>
      </c>
      <c r="E54" s="9">
        <v>3.0</v>
      </c>
      <c r="F54" s="9">
        <v>3.0</v>
      </c>
      <c r="G54" s="9">
        <v>3.0</v>
      </c>
      <c r="H54" s="9">
        <v>3.0</v>
      </c>
      <c r="I54" s="9">
        <v>3.0</v>
      </c>
    </row>
    <row r="55" ht="14.25" customHeight="1">
      <c r="A55" s="4" t="s">
        <v>61</v>
      </c>
      <c r="B55" s="9">
        <v>6773.0</v>
      </c>
      <c r="C55" s="9">
        <v>7786.0</v>
      </c>
      <c r="D55" s="9">
        <v>5710.0</v>
      </c>
      <c r="E55" s="9">
        <v>6384.0</v>
      </c>
      <c r="F55" s="9">
        <v>7163.0</v>
      </c>
      <c r="G55" s="9">
        <v>8299.0</v>
      </c>
      <c r="H55" s="9">
        <v>9965.0</v>
      </c>
      <c r="I55" s="9">
        <v>11484.0</v>
      </c>
    </row>
    <row r="56" ht="14.25" customHeight="1">
      <c r="A56" s="4" t="s">
        <v>62</v>
      </c>
      <c r="B56" s="9">
        <v>1246.0</v>
      </c>
      <c r="C56" s="9">
        <v>318.0</v>
      </c>
      <c r="D56" s="9">
        <v>-213.0</v>
      </c>
      <c r="E56" s="9">
        <v>-92.0</v>
      </c>
      <c r="F56" s="9">
        <v>231.0</v>
      </c>
      <c r="G56" s="9">
        <v>-56.0</v>
      </c>
      <c r="H56" s="9">
        <v>-380.0</v>
      </c>
      <c r="I56" s="9">
        <v>318.0</v>
      </c>
    </row>
    <row r="57" ht="14.25" customHeight="1">
      <c r="A57" s="4" t="s">
        <v>63</v>
      </c>
      <c r="B57" s="9">
        <v>4685.0</v>
      </c>
      <c r="C57" s="9">
        <v>4151.0</v>
      </c>
      <c r="D57" s="9">
        <v>6907.0</v>
      </c>
      <c r="E57" s="9">
        <v>3517.0</v>
      </c>
      <c r="F57" s="9">
        <v>1643.0</v>
      </c>
      <c r="G57" s="9">
        <v>-191.0</v>
      </c>
      <c r="H57" s="9">
        <v>3179.0</v>
      </c>
      <c r="I57" s="9">
        <v>3476.0</v>
      </c>
    </row>
    <row r="58" ht="14.25" customHeight="1">
      <c r="A58" s="16" t="s">
        <v>64</v>
      </c>
      <c r="B58" s="17">
        <f t="shared" ref="B58:I58" si="10">+SUM(B53:B57)</f>
        <v>12707</v>
      </c>
      <c r="C58" s="17">
        <f t="shared" si="10"/>
        <v>12258</v>
      </c>
      <c r="D58" s="17">
        <f t="shared" si="10"/>
        <v>12407</v>
      </c>
      <c r="E58" s="17">
        <f t="shared" si="10"/>
        <v>9812</v>
      </c>
      <c r="F58" s="17">
        <f t="shared" si="10"/>
        <v>9040</v>
      </c>
      <c r="G58" s="17">
        <f t="shared" si="10"/>
        <v>8055</v>
      </c>
      <c r="H58" s="17">
        <f t="shared" si="10"/>
        <v>12767</v>
      </c>
      <c r="I58" s="17">
        <f t="shared" si="10"/>
        <v>15281</v>
      </c>
    </row>
    <row r="59" ht="14.25" customHeight="1">
      <c r="A59" s="18" t="s">
        <v>65</v>
      </c>
      <c r="B59" s="19">
        <f t="shared" ref="B59:I59" si="11">+SUM(B45:B50)+B58</f>
        <v>21597</v>
      </c>
      <c r="C59" s="19">
        <f t="shared" si="11"/>
        <v>21396</v>
      </c>
      <c r="D59" s="19">
        <f t="shared" si="11"/>
        <v>23259</v>
      </c>
      <c r="E59" s="19">
        <f t="shared" si="11"/>
        <v>22536</v>
      </c>
      <c r="F59" s="19">
        <f t="shared" si="11"/>
        <v>23717</v>
      </c>
      <c r="G59" s="19">
        <f t="shared" si="11"/>
        <v>31342</v>
      </c>
      <c r="H59" s="19">
        <f t="shared" si="11"/>
        <v>37740</v>
      </c>
      <c r="I59" s="19">
        <f t="shared" si="11"/>
        <v>40321</v>
      </c>
    </row>
    <row r="60" ht="14.25" customHeight="1">
      <c r="A60" s="23" t="s">
        <v>66</v>
      </c>
      <c r="B60" s="31">
        <f t="shared" ref="B60:I60" si="12">+B59-B36</f>
        <v>0</v>
      </c>
      <c r="C60" s="31">
        <f t="shared" si="12"/>
        <v>0</v>
      </c>
      <c r="D60" s="31">
        <f t="shared" si="12"/>
        <v>0</v>
      </c>
      <c r="E60" s="31">
        <f t="shared" si="12"/>
        <v>0</v>
      </c>
      <c r="F60" s="31">
        <f t="shared" si="12"/>
        <v>0</v>
      </c>
      <c r="G60" s="31">
        <f t="shared" si="12"/>
        <v>0</v>
      </c>
      <c r="H60" s="31">
        <f t="shared" si="12"/>
        <v>0</v>
      </c>
      <c r="I60" s="31">
        <f t="shared" si="12"/>
        <v>0</v>
      </c>
      <c r="J60" s="23"/>
      <c r="K60" s="23"/>
      <c r="L60" s="23"/>
      <c r="M60" s="23"/>
      <c r="N60" s="23"/>
      <c r="O60" s="23"/>
      <c r="P60" s="23"/>
      <c r="Q60" s="23"/>
      <c r="R60" s="23"/>
      <c r="S60" s="23"/>
      <c r="T60" s="23"/>
      <c r="U60" s="23"/>
      <c r="V60" s="23"/>
      <c r="W60" s="23"/>
      <c r="X60" s="23"/>
      <c r="Y60" s="23"/>
      <c r="Z60" s="23"/>
    </row>
    <row r="61" ht="14.25" customHeight="1">
      <c r="A61" s="25" t="s">
        <v>67</v>
      </c>
      <c r="B61" s="32"/>
      <c r="C61" s="32"/>
      <c r="D61" s="32"/>
      <c r="E61" s="32"/>
      <c r="F61" s="32"/>
      <c r="G61" s="32"/>
      <c r="H61" s="32"/>
      <c r="I61" s="32"/>
    </row>
    <row r="62" ht="14.25" customHeight="1">
      <c r="A62" s="8" t="s">
        <v>68</v>
      </c>
      <c r="B62" s="20"/>
      <c r="C62" s="20"/>
      <c r="D62" s="20"/>
      <c r="E62" s="20"/>
      <c r="F62" s="20"/>
      <c r="G62" s="20"/>
      <c r="H62" s="20"/>
      <c r="I62" s="20"/>
    </row>
    <row r="63" ht="14.25" customHeight="1">
      <c r="A63" s="2" t="s">
        <v>69</v>
      </c>
      <c r="B63" s="20"/>
      <c r="C63" s="20"/>
      <c r="D63" s="20"/>
      <c r="E63" s="20"/>
      <c r="F63" s="20"/>
      <c r="G63" s="20"/>
      <c r="H63" s="20"/>
      <c r="I63" s="20"/>
    </row>
    <row r="64" ht="14.25" customHeight="1">
      <c r="A64" s="26" t="s">
        <v>70</v>
      </c>
      <c r="B64" s="12">
        <v>3273.0</v>
      </c>
      <c r="C64" s="12">
        <v>3760.0</v>
      </c>
      <c r="D64" s="12">
        <v>4240.0</v>
      </c>
      <c r="E64" s="12">
        <v>1933.0</v>
      </c>
      <c r="F64" s="12">
        <v>4029.0</v>
      </c>
      <c r="G64" s="12">
        <v>2539.0</v>
      </c>
      <c r="H64" s="12">
        <f t="shared" ref="H64:I64" si="13">+H12</f>
        <v>5727</v>
      </c>
      <c r="I64" s="12">
        <f t="shared" si="13"/>
        <v>6046</v>
      </c>
      <c r="J64" s="2"/>
      <c r="K64" s="2"/>
      <c r="L64" s="2"/>
      <c r="M64" s="2"/>
      <c r="N64" s="2"/>
      <c r="O64" s="2"/>
      <c r="P64" s="2"/>
      <c r="Q64" s="2"/>
      <c r="R64" s="2"/>
      <c r="S64" s="2"/>
      <c r="T64" s="2"/>
      <c r="U64" s="2"/>
      <c r="V64" s="2"/>
      <c r="W64" s="2"/>
      <c r="X64" s="2"/>
      <c r="Y64" s="2"/>
      <c r="Z64" s="2"/>
    </row>
    <row r="65" ht="14.25" customHeight="1">
      <c r="A65" s="4" t="s">
        <v>71</v>
      </c>
      <c r="B65" s="29"/>
      <c r="C65" s="29"/>
      <c r="D65" s="29"/>
      <c r="E65" s="29"/>
      <c r="F65" s="29"/>
      <c r="G65" s="29"/>
      <c r="H65" s="29"/>
      <c r="I65" s="29"/>
      <c r="J65" s="2"/>
      <c r="K65" s="2"/>
      <c r="L65" s="2"/>
      <c r="M65" s="2"/>
      <c r="N65" s="2"/>
      <c r="O65" s="2"/>
      <c r="P65" s="2"/>
      <c r="Q65" s="2"/>
      <c r="R65" s="2"/>
      <c r="S65" s="2"/>
      <c r="T65" s="2"/>
      <c r="U65" s="2"/>
      <c r="V65" s="2"/>
      <c r="W65" s="2"/>
      <c r="X65" s="2"/>
      <c r="Y65" s="2"/>
      <c r="Z65" s="2"/>
    </row>
    <row r="66" ht="14.25" customHeight="1">
      <c r="A66" s="4" t="s">
        <v>72</v>
      </c>
      <c r="B66" s="9">
        <v>606.0</v>
      </c>
      <c r="C66" s="9">
        <v>649.0</v>
      </c>
      <c r="D66" s="9">
        <v>706.0</v>
      </c>
      <c r="E66" s="9">
        <v>747.0</v>
      </c>
      <c r="F66" s="9">
        <v>705.0</v>
      </c>
      <c r="G66" s="9">
        <v>721.0</v>
      </c>
      <c r="H66" s="9">
        <v>744.0</v>
      </c>
      <c r="I66" s="9">
        <v>717.0</v>
      </c>
      <c r="J66" s="3"/>
      <c r="K66" s="3"/>
      <c r="L66" s="3"/>
      <c r="M66" s="3"/>
      <c r="N66" s="3"/>
      <c r="O66" s="3"/>
      <c r="P66" s="3"/>
      <c r="Q66" s="3"/>
      <c r="R66" s="3"/>
      <c r="S66" s="3"/>
      <c r="T66" s="3"/>
      <c r="U66" s="3"/>
      <c r="V66" s="3"/>
      <c r="W66" s="3"/>
      <c r="X66" s="3"/>
      <c r="Y66" s="3"/>
      <c r="Z66" s="3"/>
    </row>
    <row r="67" ht="14.25" customHeight="1">
      <c r="A67" s="4" t="s">
        <v>73</v>
      </c>
      <c r="B67" s="9">
        <v>-113.0</v>
      </c>
      <c r="C67" s="9">
        <v>-80.0</v>
      </c>
      <c r="D67" s="9">
        <v>-273.0</v>
      </c>
      <c r="E67" s="9">
        <v>647.0</v>
      </c>
      <c r="F67" s="9">
        <v>34.0</v>
      </c>
      <c r="G67" s="9">
        <v>-380.0</v>
      </c>
      <c r="H67" s="9">
        <v>-385.0</v>
      </c>
      <c r="I67" s="9">
        <v>-650.0</v>
      </c>
      <c r="J67" s="3"/>
      <c r="K67" s="3"/>
      <c r="L67" s="3"/>
      <c r="M67" s="3"/>
      <c r="N67" s="3"/>
      <c r="O67" s="3"/>
      <c r="P67" s="3"/>
      <c r="Q67" s="3"/>
      <c r="R67" s="3"/>
      <c r="S67" s="3"/>
      <c r="T67" s="3"/>
      <c r="U67" s="3"/>
      <c r="V67" s="3"/>
      <c r="W67" s="3"/>
      <c r="X67" s="3"/>
      <c r="Y67" s="3"/>
      <c r="Z67" s="3"/>
    </row>
    <row r="68" ht="14.25" customHeight="1">
      <c r="A68" s="4" t="s">
        <v>74</v>
      </c>
      <c r="B68" s="9">
        <v>119.0</v>
      </c>
      <c r="C68" s="9">
        <v>236.0</v>
      </c>
      <c r="D68" s="9">
        <v>215.0</v>
      </c>
      <c r="E68" s="9">
        <v>218.0</v>
      </c>
      <c r="F68" s="9">
        <v>325.0</v>
      </c>
      <c r="G68" s="9">
        <v>429.0</v>
      </c>
      <c r="H68" s="9">
        <v>611.0</v>
      </c>
      <c r="I68" s="9">
        <v>638.0</v>
      </c>
      <c r="J68" s="3"/>
      <c r="K68" s="3"/>
      <c r="L68" s="3"/>
      <c r="M68" s="3"/>
      <c r="N68" s="3"/>
      <c r="O68" s="3"/>
      <c r="P68" s="3"/>
      <c r="Q68" s="3"/>
      <c r="R68" s="3"/>
      <c r="S68" s="3"/>
      <c r="T68" s="3"/>
      <c r="U68" s="3"/>
      <c r="V68" s="3"/>
      <c r="W68" s="3"/>
      <c r="X68" s="3"/>
      <c r="Y68" s="3"/>
      <c r="Z68" s="3"/>
    </row>
    <row r="69" ht="14.25" customHeight="1">
      <c r="A69" s="4" t="s">
        <v>75</v>
      </c>
      <c r="B69" s="9">
        <v>43.0</v>
      </c>
      <c r="C69" s="9">
        <v>13.0</v>
      </c>
      <c r="D69" s="9">
        <v>10.0</v>
      </c>
      <c r="E69" s="9">
        <v>27.0</v>
      </c>
      <c r="F69" s="9">
        <v>15.0</v>
      </c>
      <c r="G69" s="9">
        <v>398.0</v>
      </c>
      <c r="H69" s="9">
        <v>53.0</v>
      </c>
      <c r="I69" s="9">
        <v>123.0</v>
      </c>
      <c r="J69" s="3"/>
      <c r="K69" s="3"/>
      <c r="L69" s="3"/>
      <c r="M69" s="3"/>
      <c r="N69" s="3"/>
      <c r="O69" s="3"/>
      <c r="P69" s="3"/>
      <c r="Q69" s="3"/>
      <c r="R69" s="3"/>
      <c r="S69" s="3"/>
      <c r="T69" s="3"/>
      <c r="U69" s="3"/>
      <c r="V69" s="3"/>
      <c r="W69" s="3"/>
      <c r="X69" s="3"/>
      <c r="Y69" s="3"/>
      <c r="Z69" s="3"/>
    </row>
    <row r="70" ht="14.25" customHeight="1">
      <c r="A70" s="4" t="s">
        <v>76</v>
      </c>
      <c r="B70" s="9">
        <v>424.0</v>
      </c>
      <c r="C70" s="9">
        <v>98.0</v>
      </c>
      <c r="D70" s="9">
        <v>-117.0</v>
      </c>
      <c r="E70" s="9">
        <v>-99.0</v>
      </c>
      <c r="F70" s="9">
        <v>233.0</v>
      </c>
      <c r="G70" s="9">
        <v>23.0</v>
      </c>
      <c r="H70" s="9">
        <v>-138.0</v>
      </c>
      <c r="I70" s="9">
        <v>-26.0</v>
      </c>
      <c r="J70" s="3"/>
      <c r="K70" s="3"/>
      <c r="L70" s="3"/>
      <c r="M70" s="3"/>
      <c r="N70" s="3"/>
      <c r="O70" s="3"/>
      <c r="P70" s="3"/>
      <c r="Q70" s="3"/>
      <c r="R70" s="3"/>
      <c r="S70" s="3"/>
      <c r="T70" s="3"/>
      <c r="U70" s="3"/>
      <c r="V70" s="3"/>
      <c r="W70" s="3"/>
      <c r="X70" s="3"/>
      <c r="Y70" s="3"/>
      <c r="Z70" s="3"/>
    </row>
    <row r="71" ht="14.25" customHeight="1">
      <c r="A71" s="4" t="s">
        <v>77</v>
      </c>
      <c r="B71" s="29"/>
      <c r="C71" s="29"/>
      <c r="D71" s="29"/>
      <c r="E71" s="29"/>
      <c r="F71" s="29"/>
      <c r="G71" s="29"/>
      <c r="H71" s="29"/>
      <c r="I71" s="29"/>
      <c r="J71" s="3"/>
      <c r="K71" s="3"/>
      <c r="L71" s="3"/>
      <c r="M71" s="3"/>
      <c r="N71" s="3"/>
      <c r="O71" s="3"/>
      <c r="P71" s="3"/>
      <c r="Q71" s="3"/>
      <c r="R71" s="3"/>
      <c r="S71" s="3"/>
      <c r="T71" s="3"/>
      <c r="U71" s="3"/>
      <c r="V71" s="3"/>
      <c r="W71" s="3"/>
      <c r="X71" s="3"/>
      <c r="Y71" s="3"/>
      <c r="Z71" s="3"/>
    </row>
    <row r="72" ht="14.25" customHeight="1">
      <c r="A72" s="4" t="s">
        <v>78</v>
      </c>
      <c r="B72" s="9">
        <v>-216.0</v>
      </c>
      <c r="C72" s="9">
        <v>60.0</v>
      </c>
      <c r="D72" s="9">
        <v>-426.0</v>
      </c>
      <c r="E72" s="9">
        <v>187.0</v>
      </c>
      <c r="F72" s="9">
        <v>-270.0</v>
      </c>
      <c r="G72" s="9">
        <v>1239.0</v>
      </c>
      <c r="H72" s="9">
        <v>-1606.0</v>
      </c>
      <c r="I72" s="9">
        <v>-504.0</v>
      </c>
      <c r="J72" s="3"/>
      <c r="K72" s="3"/>
      <c r="L72" s="3"/>
      <c r="M72" s="3"/>
      <c r="N72" s="3"/>
      <c r="O72" s="3"/>
      <c r="P72" s="3"/>
      <c r="Q72" s="3"/>
      <c r="R72" s="3"/>
      <c r="S72" s="3"/>
      <c r="T72" s="3"/>
      <c r="U72" s="3"/>
      <c r="V72" s="3"/>
      <c r="W72" s="3"/>
      <c r="X72" s="3"/>
      <c r="Y72" s="3"/>
      <c r="Z72" s="3"/>
    </row>
    <row r="73" ht="14.25" customHeight="1">
      <c r="A73" s="4" t="s">
        <v>79</v>
      </c>
      <c r="B73" s="9">
        <v>-621.0</v>
      </c>
      <c r="C73" s="9">
        <v>-590.0</v>
      </c>
      <c r="D73" s="9">
        <v>-231.0</v>
      </c>
      <c r="E73" s="9">
        <v>-255.0</v>
      </c>
      <c r="F73" s="9">
        <v>-490.0</v>
      </c>
      <c r="G73" s="9">
        <v>-1854.0</v>
      </c>
      <c r="H73" s="9">
        <v>507.0</v>
      </c>
      <c r="I73" s="9">
        <v>-1676.0</v>
      </c>
      <c r="J73" s="3"/>
      <c r="K73" s="3"/>
      <c r="L73" s="3"/>
      <c r="M73" s="3"/>
      <c r="N73" s="3"/>
      <c r="O73" s="3"/>
      <c r="P73" s="3"/>
      <c r="Q73" s="3"/>
      <c r="R73" s="3"/>
      <c r="S73" s="3"/>
      <c r="T73" s="3"/>
      <c r="U73" s="3"/>
      <c r="V73" s="3"/>
      <c r="W73" s="3"/>
      <c r="X73" s="3"/>
      <c r="Y73" s="3"/>
      <c r="Z73" s="3"/>
    </row>
    <row r="74" ht="14.25" customHeight="1">
      <c r="A74" s="4" t="s">
        <v>80</v>
      </c>
      <c r="B74" s="9">
        <v>-144.0</v>
      </c>
      <c r="C74" s="9">
        <v>-161.0</v>
      </c>
      <c r="D74" s="9">
        <v>-120.0</v>
      </c>
      <c r="E74" s="9">
        <v>35.0</v>
      </c>
      <c r="F74" s="9">
        <v>-203.0</v>
      </c>
      <c r="G74" s="9">
        <v>-654.0</v>
      </c>
      <c r="H74" s="9">
        <v>-182.0</v>
      </c>
      <c r="I74" s="9">
        <v>-845.0</v>
      </c>
      <c r="J74" s="3"/>
      <c r="K74" s="3"/>
      <c r="L74" s="3"/>
      <c r="M74" s="3"/>
      <c r="N74" s="3"/>
      <c r="O74" s="3"/>
      <c r="P74" s="3"/>
      <c r="Q74" s="3"/>
      <c r="R74" s="3"/>
      <c r="S74" s="3"/>
      <c r="T74" s="3"/>
      <c r="U74" s="3"/>
      <c r="V74" s="3"/>
      <c r="W74" s="3"/>
      <c r="X74" s="3"/>
      <c r="Y74" s="3"/>
      <c r="Z74" s="3"/>
    </row>
    <row r="75" ht="14.25" customHeight="1">
      <c r="A75" s="4" t="s">
        <v>81</v>
      </c>
      <c r="B75" s="9">
        <v>1237.0</v>
      </c>
      <c r="C75" s="9">
        <v>-586.0</v>
      </c>
      <c r="D75" s="9">
        <v>-158.0</v>
      </c>
      <c r="E75" s="9">
        <v>1515.0</v>
      </c>
      <c r="F75" s="9">
        <v>1525.0</v>
      </c>
      <c r="G75" s="9">
        <v>24.0</v>
      </c>
      <c r="H75" s="9">
        <v>1326.0</v>
      </c>
      <c r="I75" s="9">
        <v>1365.0</v>
      </c>
      <c r="J75" s="3"/>
      <c r="K75" s="3"/>
      <c r="L75" s="3"/>
      <c r="M75" s="3"/>
      <c r="N75" s="3"/>
      <c r="O75" s="3"/>
      <c r="P75" s="3"/>
      <c r="Q75" s="3"/>
      <c r="R75" s="3"/>
      <c r="S75" s="3"/>
      <c r="T75" s="3"/>
      <c r="U75" s="3"/>
      <c r="V75" s="3"/>
      <c r="W75" s="3"/>
      <c r="X75" s="3"/>
      <c r="Y75" s="3"/>
      <c r="Z75" s="3"/>
    </row>
    <row r="76" ht="14.25" customHeight="1">
      <c r="A76" s="33" t="s">
        <v>82</v>
      </c>
      <c r="B76" s="34">
        <f t="shared" ref="B76:I76" si="14">+SUM(B64:B75)</f>
        <v>4608</v>
      </c>
      <c r="C76" s="34">
        <f t="shared" si="14"/>
        <v>3399</v>
      </c>
      <c r="D76" s="34">
        <f t="shared" si="14"/>
        <v>3846</v>
      </c>
      <c r="E76" s="34">
        <f t="shared" si="14"/>
        <v>4955</v>
      </c>
      <c r="F76" s="34">
        <f t="shared" si="14"/>
        <v>5903</v>
      </c>
      <c r="G76" s="34">
        <f t="shared" si="14"/>
        <v>2485</v>
      </c>
      <c r="H76" s="34">
        <f t="shared" si="14"/>
        <v>6657</v>
      </c>
      <c r="I76" s="34">
        <f t="shared" si="14"/>
        <v>5188</v>
      </c>
      <c r="J76" s="3"/>
      <c r="K76" s="3"/>
      <c r="L76" s="3"/>
      <c r="M76" s="3"/>
      <c r="N76" s="3"/>
      <c r="O76" s="3"/>
      <c r="P76" s="3"/>
      <c r="Q76" s="3"/>
      <c r="R76" s="3"/>
      <c r="S76" s="3"/>
      <c r="T76" s="3"/>
      <c r="U76" s="3"/>
      <c r="V76" s="3"/>
      <c r="W76" s="3"/>
      <c r="X76" s="3"/>
      <c r="Y76" s="3"/>
      <c r="Z76" s="3"/>
    </row>
    <row r="77" ht="14.25" customHeight="1">
      <c r="A77" s="2" t="s">
        <v>83</v>
      </c>
      <c r="B77" s="30"/>
      <c r="C77" s="30"/>
      <c r="D77" s="30"/>
      <c r="E77" s="30"/>
      <c r="F77" s="30"/>
      <c r="G77" s="30"/>
      <c r="H77" s="30"/>
      <c r="I77" s="30"/>
      <c r="J77" s="3"/>
      <c r="K77" s="3"/>
      <c r="L77" s="3"/>
      <c r="M77" s="3"/>
      <c r="N77" s="3"/>
      <c r="O77" s="3"/>
      <c r="P77" s="3"/>
      <c r="Q77" s="3"/>
      <c r="R77" s="3"/>
      <c r="S77" s="3"/>
      <c r="T77" s="3"/>
      <c r="U77" s="3"/>
      <c r="V77" s="3"/>
      <c r="W77" s="3"/>
      <c r="X77" s="3"/>
      <c r="Y77" s="3"/>
      <c r="Z77" s="3"/>
    </row>
    <row r="78" ht="14.25" customHeight="1">
      <c r="A78" s="4" t="s">
        <v>84</v>
      </c>
      <c r="B78" s="9">
        <v>-4936.0</v>
      </c>
      <c r="C78" s="9">
        <v>-5367.0</v>
      </c>
      <c r="D78" s="9">
        <v>-5928.0</v>
      </c>
      <c r="E78" s="9">
        <v>-4783.0</v>
      </c>
      <c r="F78" s="9">
        <v>-2937.0</v>
      </c>
      <c r="G78" s="9">
        <v>-2426.0</v>
      </c>
      <c r="H78" s="9">
        <v>-9961.0</v>
      </c>
      <c r="I78" s="9">
        <v>-12913.0</v>
      </c>
      <c r="J78" s="3"/>
      <c r="K78" s="3"/>
      <c r="L78" s="3"/>
      <c r="M78" s="3"/>
      <c r="N78" s="3"/>
      <c r="O78" s="3"/>
      <c r="P78" s="3"/>
      <c r="Q78" s="3"/>
      <c r="R78" s="3"/>
      <c r="S78" s="3"/>
      <c r="T78" s="3"/>
      <c r="U78" s="3"/>
      <c r="V78" s="3"/>
      <c r="W78" s="3"/>
      <c r="X78" s="3"/>
      <c r="Y78" s="3"/>
      <c r="Z78" s="3"/>
    </row>
    <row r="79" ht="14.25" customHeight="1">
      <c r="A79" s="4" t="s">
        <v>85</v>
      </c>
      <c r="B79" s="9">
        <v>3655.0</v>
      </c>
      <c r="C79" s="9">
        <v>2924.0</v>
      </c>
      <c r="D79" s="9">
        <v>3623.0</v>
      </c>
      <c r="E79" s="9">
        <v>3613.0</v>
      </c>
      <c r="F79" s="9">
        <v>1715.0</v>
      </c>
      <c r="G79" s="9">
        <v>74.0</v>
      </c>
      <c r="H79" s="9">
        <v>4236.0</v>
      </c>
      <c r="I79" s="9">
        <v>8199.0</v>
      </c>
      <c r="J79" s="3"/>
      <c r="K79" s="3"/>
      <c r="L79" s="3"/>
      <c r="M79" s="3"/>
      <c r="N79" s="3"/>
      <c r="O79" s="3"/>
      <c r="P79" s="3"/>
      <c r="Q79" s="3"/>
      <c r="R79" s="3"/>
      <c r="S79" s="3"/>
      <c r="T79" s="3"/>
      <c r="U79" s="3"/>
      <c r="V79" s="3"/>
      <c r="W79" s="3"/>
      <c r="X79" s="3"/>
      <c r="Y79" s="3"/>
      <c r="Z79" s="3"/>
    </row>
    <row r="80" ht="14.25" customHeight="1">
      <c r="A80" s="4" t="s">
        <v>86</v>
      </c>
      <c r="B80" s="9">
        <v>2216.0</v>
      </c>
      <c r="C80" s="9">
        <v>2386.0</v>
      </c>
      <c r="D80" s="9">
        <v>2423.0</v>
      </c>
      <c r="E80" s="9">
        <v>2496.0</v>
      </c>
      <c r="F80" s="9">
        <v>2072.0</v>
      </c>
      <c r="G80" s="9">
        <v>2379.0</v>
      </c>
      <c r="H80" s="9">
        <v>2449.0</v>
      </c>
      <c r="I80" s="9">
        <v>3967.0</v>
      </c>
      <c r="J80" s="3"/>
      <c r="K80" s="3"/>
      <c r="L80" s="3"/>
      <c r="M80" s="3"/>
      <c r="N80" s="3"/>
      <c r="O80" s="3"/>
      <c r="P80" s="3"/>
      <c r="Q80" s="3"/>
      <c r="R80" s="3"/>
      <c r="S80" s="3"/>
      <c r="T80" s="3"/>
      <c r="U80" s="3"/>
      <c r="V80" s="3"/>
      <c r="W80" s="3"/>
      <c r="X80" s="3"/>
      <c r="Y80" s="3"/>
      <c r="Z80" s="3"/>
    </row>
    <row r="81" ht="14.25" customHeight="1">
      <c r="A81" s="4" t="s">
        <v>87</v>
      </c>
      <c r="B81" s="9">
        <v>-963.0</v>
      </c>
      <c r="C81" s="9">
        <v>-1143.0</v>
      </c>
      <c r="D81" s="9">
        <v>-1105.0</v>
      </c>
      <c r="E81" s="9">
        <v>-1028.0</v>
      </c>
      <c r="F81" s="9">
        <v>-1119.0</v>
      </c>
      <c r="G81" s="9">
        <v>-1086.0</v>
      </c>
      <c r="H81" s="9">
        <v>-695.0</v>
      </c>
      <c r="I81" s="9">
        <v>-758.0</v>
      </c>
      <c r="J81" s="3"/>
      <c r="K81" s="3"/>
      <c r="L81" s="3"/>
      <c r="M81" s="3"/>
      <c r="N81" s="3"/>
      <c r="O81" s="3"/>
      <c r="P81" s="3"/>
      <c r="Q81" s="3"/>
      <c r="R81" s="3"/>
      <c r="S81" s="3"/>
      <c r="T81" s="3"/>
      <c r="U81" s="3"/>
      <c r="V81" s="3"/>
      <c r="W81" s="3"/>
      <c r="X81" s="3"/>
      <c r="Y81" s="3"/>
      <c r="Z81" s="3"/>
    </row>
    <row r="82" ht="14.25" customHeight="1">
      <c r="A82" s="4" t="s">
        <v>88</v>
      </c>
      <c r="B82" s="9">
        <v>72.0</v>
      </c>
      <c r="C82" s="9">
        <v>6.0</v>
      </c>
      <c r="D82" s="9">
        <v>-34.0</v>
      </c>
      <c r="E82" s="9">
        <v>-25.0</v>
      </c>
      <c r="F82" s="9">
        <v>5.0</v>
      </c>
      <c r="G82" s="9">
        <v>31.0</v>
      </c>
      <c r="H82" s="9">
        <v>171.0</v>
      </c>
      <c r="I82" s="9">
        <v>-19.0</v>
      </c>
      <c r="J82" s="3"/>
      <c r="K82" s="3"/>
      <c r="L82" s="3"/>
      <c r="M82" s="3"/>
      <c r="N82" s="3"/>
      <c r="O82" s="3"/>
      <c r="P82" s="3"/>
      <c r="Q82" s="3"/>
      <c r="R82" s="3"/>
      <c r="S82" s="3"/>
      <c r="T82" s="3"/>
      <c r="U82" s="3"/>
      <c r="V82" s="3"/>
      <c r="W82" s="3"/>
      <c r="X82" s="3"/>
      <c r="Y82" s="3"/>
      <c r="Z82" s="3"/>
    </row>
    <row r="83" ht="14.25" customHeight="1">
      <c r="A83" s="35" t="s">
        <v>89</v>
      </c>
      <c r="B83" s="34">
        <f t="shared" ref="B83:I83" si="15">+SUM(B78:B82)</f>
        <v>44</v>
      </c>
      <c r="C83" s="34">
        <f t="shared" si="15"/>
        <v>-1194</v>
      </c>
      <c r="D83" s="34">
        <f t="shared" si="15"/>
        <v>-1021</v>
      </c>
      <c r="E83" s="34">
        <f t="shared" si="15"/>
        <v>273</v>
      </c>
      <c r="F83" s="34">
        <f t="shared" si="15"/>
        <v>-264</v>
      </c>
      <c r="G83" s="34">
        <f t="shared" si="15"/>
        <v>-1028</v>
      </c>
      <c r="H83" s="34">
        <f t="shared" si="15"/>
        <v>-3800</v>
      </c>
      <c r="I83" s="34">
        <f t="shared" si="15"/>
        <v>-1524</v>
      </c>
      <c r="J83" s="3"/>
      <c r="K83" s="3"/>
      <c r="L83" s="3"/>
      <c r="M83" s="3"/>
      <c r="N83" s="3"/>
      <c r="O83" s="3"/>
      <c r="P83" s="3"/>
      <c r="Q83" s="3"/>
      <c r="R83" s="3"/>
      <c r="S83" s="3"/>
      <c r="T83" s="3"/>
      <c r="U83" s="3"/>
      <c r="V83" s="3"/>
      <c r="W83" s="3"/>
      <c r="X83" s="3"/>
      <c r="Y83" s="3"/>
      <c r="Z83" s="3"/>
    </row>
    <row r="84" ht="14.25" customHeight="1">
      <c r="A84" s="2" t="s">
        <v>90</v>
      </c>
      <c r="B84" s="30"/>
      <c r="C84" s="30"/>
      <c r="D84" s="30"/>
      <c r="E84" s="30"/>
      <c r="F84" s="30"/>
      <c r="G84" s="30"/>
      <c r="H84" s="30"/>
      <c r="I84" s="30"/>
      <c r="J84" s="3"/>
      <c r="K84" s="3"/>
      <c r="L84" s="3"/>
      <c r="M84" s="3"/>
      <c r="N84" s="3"/>
      <c r="O84" s="3"/>
      <c r="P84" s="3"/>
      <c r="Q84" s="3"/>
      <c r="R84" s="3"/>
      <c r="S84" s="3"/>
      <c r="T84" s="3"/>
      <c r="U84" s="3"/>
      <c r="V84" s="3"/>
      <c r="W84" s="3"/>
      <c r="X84" s="3"/>
      <c r="Y84" s="3"/>
      <c r="Z84" s="3"/>
    </row>
    <row r="85" ht="14.25" customHeight="1">
      <c r="A85" s="4" t="s">
        <v>91</v>
      </c>
      <c r="B85" s="30"/>
      <c r="C85" s="9">
        <v>981.0</v>
      </c>
      <c r="D85" s="9">
        <v>1482.0</v>
      </c>
      <c r="E85" s="29"/>
      <c r="F85" s="29"/>
      <c r="G85" s="9">
        <v>6134.0</v>
      </c>
      <c r="H85" s="9">
        <v>0.0</v>
      </c>
      <c r="I85" s="9">
        <v>0.0</v>
      </c>
      <c r="J85" s="3"/>
      <c r="K85" s="3"/>
      <c r="L85" s="3"/>
      <c r="M85" s="3"/>
      <c r="N85" s="3"/>
      <c r="O85" s="3"/>
      <c r="P85" s="3"/>
      <c r="Q85" s="3"/>
      <c r="R85" s="3"/>
      <c r="S85" s="3"/>
      <c r="T85" s="3"/>
      <c r="U85" s="3"/>
      <c r="V85" s="3"/>
      <c r="W85" s="3"/>
      <c r="X85" s="3"/>
      <c r="Y85" s="3"/>
      <c r="Z85" s="3"/>
    </row>
    <row r="86" ht="14.25" customHeight="1">
      <c r="A86" s="4" t="s">
        <v>92</v>
      </c>
      <c r="B86" s="9">
        <v>-63.0</v>
      </c>
      <c r="C86" s="9">
        <v>-67.0</v>
      </c>
      <c r="D86" s="9">
        <v>327.0</v>
      </c>
      <c r="E86" s="9">
        <v>13.0</v>
      </c>
      <c r="F86" s="9">
        <v>-325.0</v>
      </c>
      <c r="G86" s="9">
        <v>49.0</v>
      </c>
      <c r="H86" s="9">
        <v>-52.0</v>
      </c>
      <c r="I86" s="9">
        <v>15.0</v>
      </c>
      <c r="J86" s="3"/>
      <c r="K86" s="3"/>
      <c r="L86" s="3"/>
      <c r="M86" s="3"/>
      <c r="N86" s="3"/>
      <c r="O86" s="3"/>
      <c r="P86" s="3"/>
      <c r="Q86" s="3"/>
      <c r="R86" s="3"/>
      <c r="S86" s="3"/>
      <c r="T86" s="3"/>
      <c r="U86" s="3"/>
      <c r="V86" s="3"/>
      <c r="W86" s="3"/>
      <c r="X86" s="3"/>
      <c r="Y86" s="3"/>
      <c r="Z86" s="3"/>
    </row>
    <row r="87" ht="14.25" customHeight="1">
      <c r="A87" s="4" t="s">
        <v>93</v>
      </c>
      <c r="B87" s="9">
        <v>-19.0</v>
      </c>
      <c r="C87" s="9">
        <v>-7.0</v>
      </c>
      <c r="D87" s="9">
        <v>-17.0</v>
      </c>
      <c r="E87" s="9">
        <v>-23.0</v>
      </c>
      <c r="F87" s="29"/>
      <c r="G87" s="30"/>
      <c r="H87" s="9">
        <v>-197.0</v>
      </c>
      <c r="I87" s="9">
        <v>0.0</v>
      </c>
      <c r="J87" s="3"/>
      <c r="K87" s="3"/>
      <c r="L87" s="3"/>
      <c r="M87" s="3"/>
      <c r="N87" s="3"/>
      <c r="O87" s="3"/>
      <c r="P87" s="3"/>
      <c r="Q87" s="3"/>
      <c r="R87" s="3"/>
      <c r="S87" s="3"/>
      <c r="T87" s="3"/>
      <c r="U87" s="3"/>
      <c r="V87" s="3"/>
      <c r="W87" s="3"/>
      <c r="X87" s="3"/>
      <c r="Y87" s="3"/>
      <c r="Z87" s="3"/>
    </row>
    <row r="88" ht="14.25" customHeight="1">
      <c r="A88" s="4" t="s">
        <v>94</v>
      </c>
      <c r="B88" s="9">
        <v>514.0</v>
      </c>
      <c r="C88" s="9">
        <v>507.0</v>
      </c>
      <c r="D88" s="9">
        <v>489.0</v>
      </c>
      <c r="E88" s="9">
        <v>733.0</v>
      </c>
      <c r="F88" s="9">
        <v>700.0</v>
      </c>
      <c r="G88" s="9">
        <v>885.0</v>
      </c>
      <c r="H88" s="9">
        <v>1172.0</v>
      </c>
      <c r="I88" s="9">
        <v>1151.0</v>
      </c>
      <c r="J88" s="3"/>
      <c r="K88" s="3"/>
      <c r="L88" s="3"/>
      <c r="M88" s="3"/>
      <c r="N88" s="3"/>
      <c r="O88" s="3"/>
      <c r="P88" s="3"/>
      <c r="Q88" s="3"/>
      <c r="R88" s="3"/>
      <c r="S88" s="3"/>
      <c r="T88" s="3"/>
      <c r="U88" s="3"/>
      <c r="V88" s="3"/>
      <c r="W88" s="3"/>
      <c r="X88" s="3"/>
      <c r="Y88" s="3"/>
      <c r="Z88" s="3"/>
    </row>
    <row r="89" ht="14.25" customHeight="1">
      <c r="A89" s="4" t="s">
        <v>95</v>
      </c>
      <c r="B89" s="9">
        <v>218.0</v>
      </c>
      <c r="C89" s="9">
        <v>-3238.0</v>
      </c>
      <c r="D89" s="9">
        <v>-3223.0</v>
      </c>
      <c r="E89" s="9">
        <v>-4254.0</v>
      </c>
      <c r="F89" s="9">
        <v>-4286.0</v>
      </c>
      <c r="G89" s="9">
        <v>-3067.0</v>
      </c>
      <c r="H89" s="9">
        <v>-608.0</v>
      </c>
      <c r="I89" s="9">
        <v>-4014.0</v>
      </c>
      <c r="J89" s="3"/>
      <c r="K89" s="3"/>
      <c r="L89" s="3"/>
      <c r="M89" s="3"/>
      <c r="N89" s="3"/>
      <c r="O89" s="3"/>
      <c r="P89" s="3"/>
      <c r="Q89" s="3"/>
      <c r="R89" s="3"/>
      <c r="S89" s="3"/>
      <c r="T89" s="3"/>
      <c r="U89" s="3"/>
      <c r="V89" s="3"/>
      <c r="W89" s="3"/>
      <c r="X89" s="3"/>
      <c r="Y89" s="3"/>
      <c r="Z89" s="3"/>
    </row>
    <row r="90" ht="14.25" customHeight="1">
      <c r="A90" s="4" t="s">
        <v>96</v>
      </c>
      <c r="B90" s="9">
        <v>-2534.0</v>
      </c>
      <c r="C90" s="9">
        <v>-1022.0</v>
      </c>
      <c r="D90" s="9">
        <v>-1133.0</v>
      </c>
      <c r="E90" s="9">
        <v>-1243.0</v>
      </c>
      <c r="F90" s="9">
        <v>-1332.0</v>
      </c>
      <c r="G90" s="9">
        <v>-1452.0</v>
      </c>
      <c r="H90" s="9">
        <v>-1638.0</v>
      </c>
      <c r="I90" s="9">
        <v>-1837.0</v>
      </c>
      <c r="J90" s="3"/>
      <c r="K90" s="3"/>
      <c r="L90" s="3"/>
      <c r="M90" s="3"/>
      <c r="N90" s="3"/>
      <c r="O90" s="3"/>
      <c r="P90" s="3"/>
      <c r="Q90" s="3"/>
      <c r="R90" s="3"/>
      <c r="S90" s="3"/>
      <c r="T90" s="3"/>
      <c r="U90" s="3"/>
      <c r="V90" s="3"/>
      <c r="W90" s="3"/>
      <c r="X90" s="3"/>
      <c r="Y90" s="3"/>
      <c r="Z90" s="3"/>
    </row>
    <row r="91" ht="14.25" customHeight="1">
      <c r="A91" s="4" t="s">
        <v>97</v>
      </c>
      <c r="B91" s="9">
        <v>-899.0</v>
      </c>
      <c r="C91" s="9">
        <v>-22.0</v>
      </c>
      <c r="D91" s="9">
        <v>-29.0</v>
      </c>
      <c r="E91" s="9">
        <v>-55.0</v>
      </c>
      <c r="F91" s="9">
        <v>-50.0</v>
      </c>
      <c r="G91" s="9">
        <v>-58.0</v>
      </c>
      <c r="H91" s="9">
        <v>-136.0</v>
      </c>
      <c r="I91" s="9">
        <v>-151.0</v>
      </c>
      <c r="J91" s="3"/>
      <c r="K91" s="3"/>
      <c r="L91" s="3"/>
      <c r="M91" s="3"/>
      <c r="N91" s="3"/>
      <c r="O91" s="3"/>
      <c r="P91" s="3"/>
      <c r="Q91" s="3"/>
      <c r="R91" s="3"/>
      <c r="S91" s="3"/>
      <c r="T91" s="3"/>
      <c r="U91" s="3"/>
      <c r="V91" s="3"/>
      <c r="W91" s="3"/>
      <c r="X91" s="3"/>
      <c r="Y91" s="3"/>
      <c r="Z91" s="3"/>
    </row>
    <row r="92" ht="14.25" customHeight="1">
      <c r="A92" s="35" t="s">
        <v>98</v>
      </c>
      <c r="B92" s="36">
        <f t="shared" ref="B92:I92" si="16">+SUM(B84:B91)</f>
        <v>-2783</v>
      </c>
      <c r="C92" s="36">
        <f t="shared" si="16"/>
        <v>-2868</v>
      </c>
      <c r="D92" s="36">
        <f t="shared" si="16"/>
        <v>-2104</v>
      </c>
      <c r="E92" s="36">
        <f t="shared" si="16"/>
        <v>-4829</v>
      </c>
      <c r="F92" s="36">
        <f t="shared" si="16"/>
        <v>-5293</v>
      </c>
      <c r="G92" s="36">
        <f t="shared" si="16"/>
        <v>2491</v>
      </c>
      <c r="H92" s="36">
        <f t="shared" si="16"/>
        <v>-1459</v>
      </c>
      <c r="I92" s="36">
        <f t="shared" si="16"/>
        <v>-4836</v>
      </c>
      <c r="J92" s="3"/>
      <c r="K92" s="3"/>
      <c r="L92" s="3"/>
      <c r="M92" s="3"/>
      <c r="N92" s="3"/>
      <c r="O92" s="3"/>
      <c r="P92" s="3"/>
      <c r="Q92" s="3"/>
      <c r="R92" s="3"/>
      <c r="S92" s="3"/>
      <c r="T92" s="3"/>
      <c r="U92" s="3"/>
      <c r="V92" s="3"/>
      <c r="W92" s="3"/>
      <c r="X92" s="3"/>
      <c r="Y92" s="3"/>
      <c r="Z92" s="3"/>
    </row>
    <row r="93" ht="14.25" customHeight="1">
      <c r="A93" s="4" t="s">
        <v>99</v>
      </c>
      <c r="B93" s="9">
        <v>-83.0</v>
      </c>
      <c r="C93" s="9">
        <v>-105.0</v>
      </c>
      <c r="D93" s="9">
        <v>-20.0</v>
      </c>
      <c r="E93" s="9">
        <v>45.0</v>
      </c>
      <c r="F93" s="9">
        <v>-129.0</v>
      </c>
      <c r="G93" s="9">
        <v>-66.0</v>
      </c>
      <c r="H93" s="9">
        <v>143.0</v>
      </c>
      <c r="I93" s="9">
        <v>-143.0</v>
      </c>
      <c r="J93" s="3"/>
      <c r="K93" s="3"/>
      <c r="L93" s="3"/>
      <c r="M93" s="3"/>
      <c r="N93" s="3"/>
      <c r="O93" s="3"/>
      <c r="P93" s="3"/>
      <c r="Q93" s="3"/>
      <c r="R93" s="3"/>
      <c r="S93" s="3"/>
      <c r="T93" s="3"/>
      <c r="U93" s="3"/>
      <c r="V93" s="3"/>
      <c r="W93" s="3"/>
      <c r="X93" s="3"/>
      <c r="Y93" s="3"/>
      <c r="Z93" s="3"/>
    </row>
    <row r="94" ht="14.25" customHeight="1">
      <c r="A94" s="35" t="s">
        <v>100</v>
      </c>
      <c r="B94" s="36">
        <f t="shared" ref="B94:I94" si="17">+B73+B82+B92+B93</f>
        <v>-3415</v>
      </c>
      <c r="C94" s="36">
        <f t="shared" si="17"/>
        <v>-3557</v>
      </c>
      <c r="D94" s="36">
        <f t="shared" si="17"/>
        <v>-2389</v>
      </c>
      <c r="E94" s="36">
        <f t="shared" si="17"/>
        <v>-5064</v>
      </c>
      <c r="F94" s="36">
        <f t="shared" si="17"/>
        <v>-5907</v>
      </c>
      <c r="G94" s="36">
        <f t="shared" si="17"/>
        <v>602</v>
      </c>
      <c r="H94" s="36">
        <f t="shared" si="17"/>
        <v>-638</v>
      </c>
      <c r="I94" s="36">
        <f t="shared" si="17"/>
        <v>-6674</v>
      </c>
      <c r="J94" s="3"/>
      <c r="K94" s="3"/>
      <c r="L94" s="3"/>
      <c r="M94" s="3"/>
      <c r="N94" s="3"/>
      <c r="O94" s="3"/>
      <c r="P94" s="3"/>
      <c r="Q94" s="3"/>
      <c r="R94" s="3"/>
      <c r="S94" s="3"/>
      <c r="T94" s="3"/>
      <c r="U94" s="3"/>
      <c r="V94" s="3"/>
      <c r="W94" s="3"/>
      <c r="X94" s="3"/>
      <c r="Y94" s="3"/>
      <c r="Z94" s="3"/>
    </row>
    <row r="95" ht="14.25" customHeight="1">
      <c r="A95" s="8" t="s">
        <v>101</v>
      </c>
      <c r="B95" s="9">
        <v>2220.0</v>
      </c>
      <c r="C95" s="9">
        <v>3852.0</v>
      </c>
      <c r="D95" s="9">
        <v>3138.0</v>
      </c>
      <c r="E95" s="9">
        <v>3808.0</v>
      </c>
      <c r="F95" s="9">
        <v>4249.0</v>
      </c>
      <c r="G95" s="9">
        <v>4466.0</v>
      </c>
      <c r="H95" s="9">
        <v>8348.0</v>
      </c>
      <c r="I95" s="9">
        <f>+H96</f>
        <v>7710</v>
      </c>
      <c r="J95" s="3"/>
      <c r="K95" s="3"/>
      <c r="L95" s="3"/>
      <c r="M95" s="3"/>
      <c r="N95" s="3"/>
      <c r="O95" s="3"/>
      <c r="P95" s="3"/>
      <c r="Q95" s="3"/>
      <c r="R95" s="3"/>
      <c r="S95" s="3"/>
      <c r="T95" s="3"/>
      <c r="U95" s="3"/>
      <c r="V95" s="3"/>
      <c r="W95" s="3"/>
      <c r="X95" s="3"/>
      <c r="Y95" s="3"/>
      <c r="Z95" s="3"/>
    </row>
    <row r="96" ht="14.25" customHeight="1">
      <c r="A96" s="18" t="s">
        <v>102</v>
      </c>
      <c r="B96" s="19">
        <v>3852.0</v>
      </c>
      <c r="C96" s="19">
        <v>3138.0</v>
      </c>
      <c r="D96" s="19">
        <v>3808.0</v>
      </c>
      <c r="E96" s="19">
        <f t="shared" ref="E96:I96" si="18">+E94+E95</f>
        <v>-1256</v>
      </c>
      <c r="F96" s="19">
        <f t="shared" si="18"/>
        <v>-1658</v>
      </c>
      <c r="G96" s="19">
        <f t="shared" si="18"/>
        <v>5068</v>
      </c>
      <c r="H96" s="19">
        <f t="shared" si="18"/>
        <v>7710</v>
      </c>
      <c r="I96" s="19">
        <f t="shared" si="18"/>
        <v>1036</v>
      </c>
      <c r="J96" s="3"/>
      <c r="K96" s="3"/>
      <c r="L96" s="3"/>
      <c r="M96" s="3"/>
      <c r="N96" s="3"/>
      <c r="O96" s="3"/>
      <c r="P96" s="3"/>
      <c r="Q96" s="3"/>
      <c r="R96" s="3"/>
      <c r="S96" s="3"/>
      <c r="T96" s="3"/>
      <c r="U96" s="3"/>
      <c r="V96" s="3"/>
      <c r="W96" s="3"/>
      <c r="X96" s="3"/>
      <c r="Y96" s="3"/>
      <c r="Z96" s="3"/>
    </row>
    <row r="97" ht="14.25" customHeight="1">
      <c r="A97" s="23" t="s">
        <v>103</v>
      </c>
      <c r="B97" s="24">
        <f t="shared" ref="B97:I97" si="19">+B96-B25</f>
        <v>0</v>
      </c>
      <c r="C97" s="24">
        <f t="shared" si="19"/>
        <v>0</v>
      </c>
      <c r="D97" s="24">
        <f t="shared" si="19"/>
        <v>0</v>
      </c>
      <c r="E97" s="24">
        <f t="shared" si="19"/>
        <v>-5505</v>
      </c>
      <c r="F97" s="24">
        <f t="shared" si="19"/>
        <v>-6124</v>
      </c>
      <c r="G97" s="24">
        <f t="shared" si="19"/>
        <v>-3280</v>
      </c>
      <c r="H97" s="24">
        <f t="shared" si="19"/>
        <v>-2179</v>
      </c>
      <c r="I97" s="24">
        <f t="shared" si="19"/>
        <v>-7538</v>
      </c>
      <c r="J97" s="23"/>
      <c r="K97" s="23"/>
      <c r="L97" s="23"/>
      <c r="M97" s="23"/>
      <c r="N97" s="23"/>
      <c r="O97" s="23"/>
      <c r="P97" s="23"/>
      <c r="Q97" s="23"/>
      <c r="R97" s="23"/>
      <c r="S97" s="23"/>
      <c r="T97" s="23"/>
      <c r="U97" s="23"/>
      <c r="V97" s="23"/>
      <c r="W97" s="23"/>
      <c r="X97" s="23"/>
      <c r="Y97" s="23"/>
      <c r="Z97" s="23"/>
    </row>
    <row r="98" ht="14.25" customHeight="1">
      <c r="A98" s="8" t="s">
        <v>104</v>
      </c>
      <c r="B98" s="27"/>
      <c r="C98" s="27"/>
      <c r="D98" s="27"/>
      <c r="E98" s="27"/>
      <c r="F98" s="27"/>
      <c r="G98" s="27"/>
      <c r="H98" s="27"/>
      <c r="I98" s="27"/>
      <c r="J98" s="3"/>
      <c r="K98" s="3"/>
      <c r="L98" s="3"/>
      <c r="M98" s="3"/>
      <c r="N98" s="3"/>
      <c r="O98" s="3"/>
      <c r="P98" s="3"/>
      <c r="Q98" s="3"/>
      <c r="R98" s="3"/>
      <c r="S98" s="3"/>
      <c r="T98" s="3"/>
      <c r="U98" s="3"/>
      <c r="V98" s="3"/>
      <c r="W98" s="3"/>
      <c r="X98" s="3"/>
      <c r="Y98" s="3"/>
      <c r="Z98" s="3"/>
    </row>
    <row r="99" ht="14.25" customHeight="1">
      <c r="A99" s="4" t="s">
        <v>105</v>
      </c>
      <c r="B99" s="27"/>
      <c r="C99" s="27"/>
      <c r="D99" s="27"/>
      <c r="E99" s="27"/>
      <c r="F99" s="27"/>
      <c r="G99" s="27"/>
      <c r="H99" s="27"/>
      <c r="I99" s="27"/>
      <c r="J99" s="3"/>
      <c r="K99" s="3"/>
      <c r="L99" s="3"/>
      <c r="M99" s="3"/>
      <c r="N99" s="3"/>
      <c r="O99" s="3"/>
      <c r="P99" s="3"/>
      <c r="Q99" s="3"/>
      <c r="R99" s="3"/>
      <c r="S99" s="3"/>
      <c r="T99" s="3"/>
      <c r="U99" s="3"/>
      <c r="V99" s="3"/>
      <c r="W99" s="3"/>
      <c r="X99" s="3"/>
      <c r="Y99" s="3"/>
      <c r="Z99" s="3"/>
    </row>
    <row r="100" ht="14.25" customHeight="1">
      <c r="A100" s="4" t="s">
        <v>106</v>
      </c>
      <c r="B100" s="9">
        <v>53.0</v>
      </c>
      <c r="C100" s="9">
        <v>70.0</v>
      </c>
      <c r="D100" s="9">
        <v>98.0</v>
      </c>
      <c r="E100" s="9">
        <v>125.0</v>
      </c>
      <c r="F100" s="9">
        <v>153.0</v>
      </c>
      <c r="G100" s="9">
        <v>140.0</v>
      </c>
      <c r="H100" s="9">
        <v>293.0</v>
      </c>
      <c r="I100" s="9">
        <v>290.0</v>
      </c>
      <c r="J100" s="3"/>
      <c r="K100" s="3"/>
      <c r="L100" s="3"/>
      <c r="M100" s="3"/>
      <c r="N100" s="3"/>
      <c r="O100" s="3"/>
      <c r="P100" s="3"/>
      <c r="Q100" s="3"/>
      <c r="R100" s="3"/>
      <c r="S100" s="3"/>
      <c r="T100" s="3"/>
      <c r="U100" s="3"/>
      <c r="V100" s="3"/>
      <c r="W100" s="3"/>
      <c r="X100" s="3"/>
      <c r="Y100" s="3"/>
      <c r="Z100" s="3"/>
    </row>
    <row r="101" ht="14.25" customHeight="1">
      <c r="A101" s="4" t="s">
        <v>107</v>
      </c>
      <c r="B101" s="9">
        <v>1262.0</v>
      </c>
      <c r="C101" s="9">
        <v>748.0</v>
      </c>
      <c r="D101" s="9">
        <v>703.0</v>
      </c>
      <c r="E101" s="9">
        <v>529.0</v>
      </c>
      <c r="F101" s="9">
        <v>757.0</v>
      </c>
      <c r="G101" s="9">
        <v>1028.0</v>
      </c>
      <c r="H101" s="9">
        <v>1177.0</v>
      </c>
      <c r="I101" s="9">
        <v>1231.0</v>
      </c>
      <c r="J101" s="3"/>
      <c r="K101" s="3"/>
      <c r="L101" s="3"/>
      <c r="M101" s="3"/>
      <c r="N101" s="3"/>
      <c r="O101" s="3"/>
      <c r="P101" s="3"/>
      <c r="Q101" s="3"/>
      <c r="R101" s="3"/>
      <c r="S101" s="3"/>
      <c r="T101" s="3"/>
      <c r="U101" s="3"/>
      <c r="V101" s="3"/>
      <c r="W101" s="3"/>
      <c r="X101" s="3"/>
      <c r="Y101" s="3"/>
      <c r="Z101" s="3"/>
    </row>
    <row r="102" ht="14.25" customHeight="1">
      <c r="A102" s="4" t="s">
        <v>108</v>
      </c>
      <c r="B102" s="9">
        <v>206.0</v>
      </c>
      <c r="C102" s="9">
        <v>252.0</v>
      </c>
      <c r="D102" s="9">
        <v>266.0</v>
      </c>
      <c r="E102" s="9">
        <v>294.0</v>
      </c>
      <c r="F102" s="9">
        <v>160.0</v>
      </c>
      <c r="G102" s="9">
        <v>121.0</v>
      </c>
      <c r="H102" s="9">
        <v>179.0</v>
      </c>
      <c r="I102" s="9">
        <v>160.0</v>
      </c>
      <c r="J102" s="3"/>
      <c r="K102" s="3"/>
      <c r="L102" s="3"/>
      <c r="M102" s="3"/>
      <c r="N102" s="3"/>
      <c r="O102" s="3"/>
      <c r="P102" s="3"/>
      <c r="Q102" s="3"/>
      <c r="R102" s="3"/>
      <c r="S102" s="3"/>
      <c r="T102" s="3"/>
      <c r="U102" s="3"/>
      <c r="V102" s="3"/>
      <c r="W102" s="3"/>
      <c r="X102" s="3"/>
      <c r="Y102" s="3"/>
      <c r="Z102" s="3"/>
    </row>
    <row r="103" ht="14.25" customHeight="1">
      <c r="A103" s="4" t="s">
        <v>109</v>
      </c>
      <c r="B103" s="9">
        <v>240.0</v>
      </c>
      <c r="C103" s="9">
        <v>271.0</v>
      </c>
      <c r="D103" s="9">
        <v>300.0</v>
      </c>
      <c r="E103" s="9">
        <v>320.0</v>
      </c>
      <c r="F103" s="9">
        <v>347.0</v>
      </c>
      <c r="G103" s="9">
        <v>385.0</v>
      </c>
      <c r="H103" s="9">
        <v>438.0</v>
      </c>
      <c r="I103" s="9">
        <v>480.0</v>
      </c>
      <c r="J103" s="3"/>
      <c r="K103" s="3"/>
      <c r="L103" s="3"/>
      <c r="M103" s="3"/>
      <c r="N103" s="3"/>
      <c r="O103" s="3"/>
      <c r="P103" s="3"/>
      <c r="Q103" s="3"/>
      <c r="R103" s="3"/>
      <c r="S103" s="3"/>
      <c r="T103" s="3"/>
      <c r="U103" s="3"/>
      <c r="V103" s="3"/>
      <c r="W103" s="3"/>
      <c r="X103" s="3"/>
      <c r="Y103" s="3"/>
      <c r="Z103" s="3"/>
    </row>
    <row r="104" ht="14.25" customHeight="1">
      <c r="B104" s="20"/>
      <c r="C104" s="20"/>
      <c r="D104" s="20"/>
      <c r="E104" s="20"/>
      <c r="F104" s="20"/>
      <c r="G104" s="20"/>
      <c r="H104" s="20"/>
      <c r="I104" s="20"/>
    </row>
    <row r="105" ht="14.25" customHeight="1">
      <c r="A105" s="25" t="s">
        <v>110</v>
      </c>
      <c r="B105" s="32"/>
      <c r="C105" s="32"/>
      <c r="D105" s="32"/>
      <c r="E105" s="32"/>
      <c r="F105" s="32"/>
      <c r="G105" s="32"/>
      <c r="H105" s="32"/>
      <c r="I105" s="32"/>
    </row>
    <row r="106" ht="14.25" customHeight="1">
      <c r="A106" s="26" t="s">
        <v>111</v>
      </c>
      <c r="B106" s="30"/>
      <c r="C106" s="30"/>
      <c r="D106" s="30"/>
      <c r="E106" s="30"/>
      <c r="F106" s="30"/>
      <c r="G106" s="30"/>
      <c r="H106" s="30"/>
      <c r="I106" s="30"/>
    </row>
    <row r="107" ht="14.25" customHeight="1">
      <c r="A107" s="4" t="s">
        <v>112</v>
      </c>
      <c r="B107" s="12">
        <f t="shared" ref="B107:I107" si="20">+SUM(B108:B110)</f>
        <v>13740</v>
      </c>
      <c r="C107" s="12">
        <f t="shared" si="20"/>
        <v>14764</v>
      </c>
      <c r="D107" s="12">
        <f t="shared" si="20"/>
        <v>15216</v>
      </c>
      <c r="E107" s="12">
        <f t="shared" si="20"/>
        <v>14855</v>
      </c>
      <c r="F107" s="12">
        <f t="shared" si="20"/>
        <v>15902</v>
      </c>
      <c r="G107" s="12">
        <f t="shared" si="20"/>
        <v>14484</v>
      </c>
      <c r="H107" s="12">
        <f t="shared" si="20"/>
        <v>17179</v>
      </c>
      <c r="I107" s="12">
        <f t="shared" si="20"/>
        <v>18353</v>
      </c>
    </row>
    <row r="108" ht="14.25" customHeight="1">
      <c r="A108" s="4" t="s">
        <v>113</v>
      </c>
      <c r="B108" s="21">
        <v>8506.0</v>
      </c>
      <c r="C108" s="21">
        <v>9299.0</v>
      </c>
      <c r="D108" s="21">
        <v>9684.0</v>
      </c>
      <c r="E108" s="21">
        <v>9322.0</v>
      </c>
      <c r="F108" s="21">
        <v>10045.0</v>
      </c>
      <c r="G108" s="21">
        <v>9329.0</v>
      </c>
      <c r="H108" s="22">
        <v>11644.0</v>
      </c>
      <c r="I108" s="22">
        <v>12228.0</v>
      </c>
    </row>
    <row r="109" ht="14.25" customHeight="1">
      <c r="A109" s="4" t="s">
        <v>114</v>
      </c>
      <c r="B109" s="21">
        <v>4410.0</v>
      </c>
      <c r="C109" s="21">
        <v>4746.0</v>
      </c>
      <c r="D109" s="21">
        <v>4886.0</v>
      </c>
      <c r="E109" s="21">
        <v>4938.0</v>
      </c>
      <c r="F109" s="21">
        <v>5260.0</v>
      </c>
      <c r="G109" s="21">
        <v>4639.0</v>
      </c>
      <c r="H109" s="22">
        <v>5028.0</v>
      </c>
      <c r="I109" s="22">
        <v>5492.0</v>
      </c>
    </row>
    <row r="110" ht="14.25" customHeight="1">
      <c r="A110" s="4" t="s">
        <v>115</v>
      </c>
      <c r="B110" s="21">
        <v>824.0</v>
      </c>
      <c r="C110" s="21">
        <v>719.0</v>
      </c>
      <c r="D110" s="21">
        <v>646.0</v>
      </c>
      <c r="E110" s="9">
        <v>595.0</v>
      </c>
      <c r="F110" s="9">
        <v>597.0</v>
      </c>
      <c r="G110" s="9">
        <v>516.0</v>
      </c>
      <c r="H110" s="21">
        <v>507.0</v>
      </c>
      <c r="I110" s="21">
        <v>633.0</v>
      </c>
    </row>
    <row r="111" ht="14.25" customHeight="1">
      <c r="A111" s="4" t="s">
        <v>116</v>
      </c>
      <c r="B111" s="12">
        <f t="shared" ref="B111:I111" si="21">+SUM(B112:B114)</f>
        <v>7126</v>
      </c>
      <c r="C111" s="12">
        <f t="shared" si="21"/>
        <v>7568</v>
      </c>
      <c r="D111" s="12">
        <f t="shared" si="21"/>
        <v>7970</v>
      </c>
      <c r="E111" s="12">
        <f t="shared" si="21"/>
        <v>9242</v>
      </c>
      <c r="F111" s="12">
        <f t="shared" si="21"/>
        <v>9812</v>
      </c>
      <c r="G111" s="12">
        <f t="shared" si="21"/>
        <v>9347</v>
      </c>
      <c r="H111" s="12">
        <f t="shared" si="21"/>
        <v>11456</v>
      </c>
      <c r="I111" s="12">
        <f t="shared" si="21"/>
        <v>12479</v>
      </c>
    </row>
    <row r="112" ht="14.25" customHeight="1">
      <c r="A112" s="4" t="s">
        <v>113</v>
      </c>
      <c r="B112" s="21">
        <v>4703.0</v>
      </c>
      <c r="C112" s="21">
        <v>5043.0</v>
      </c>
      <c r="D112" s="21">
        <v>5192.0</v>
      </c>
      <c r="E112" s="21">
        <v>5875.0</v>
      </c>
      <c r="F112" s="21">
        <v>6293.0</v>
      </c>
      <c r="G112" s="21">
        <v>5892.0</v>
      </c>
      <c r="H112" s="22">
        <v>6970.0</v>
      </c>
      <c r="I112" s="22">
        <v>7388.0</v>
      </c>
    </row>
    <row r="113" ht="14.25" customHeight="1">
      <c r="A113" s="4" t="s">
        <v>114</v>
      </c>
      <c r="B113" s="21">
        <v>2050.0</v>
      </c>
      <c r="C113" s="21">
        <v>2149.0</v>
      </c>
      <c r="D113" s="21">
        <v>2395.0</v>
      </c>
      <c r="E113" s="21">
        <v>2940.0</v>
      </c>
      <c r="F113" s="21">
        <v>3087.0</v>
      </c>
      <c r="G113" s="21">
        <v>3053.0</v>
      </c>
      <c r="H113" s="22">
        <v>3996.0</v>
      </c>
      <c r="I113" s="22">
        <v>4527.0</v>
      </c>
    </row>
    <row r="114" ht="14.25" customHeight="1">
      <c r="A114" s="4" t="s">
        <v>115</v>
      </c>
      <c r="B114" s="21">
        <v>373.0</v>
      </c>
      <c r="C114" s="21">
        <v>376.0</v>
      </c>
      <c r="D114" s="21">
        <v>383.0</v>
      </c>
      <c r="E114" s="21">
        <v>427.0</v>
      </c>
      <c r="F114" s="21">
        <v>432.0</v>
      </c>
      <c r="G114" s="21">
        <v>402.0</v>
      </c>
      <c r="H114" s="21">
        <v>490.0</v>
      </c>
      <c r="I114" s="21">
        <v>564.0</v>
      </c>
    </row>
    <row r="115" ht="14.25" customHeight="1">
      <c r="A115" s="4" t="s">
        <v>117</v>
      </c>
      <c r="B115" s="12">
        <f t="shared" ref="B115:I115" si="22">+SUM(B116:B118)</f>
        <v>3067</v>
      </c>
      <c r="C115" s="12">
        <f t="shared" si="22"/>
        <v>3785</v>
      </c>
      <c r="D115" s="12">
        <f t="shared" si="22"/>
        <v>4237</v>
      </c>
      <c r="E115" s="12">
        <f t="shared" si="22"/>
        <v>5134</v>
      </c>
      <c r="F115" s="12">
        <f t="shared" si="22"/>
        <v>6208</v>
      </c>
      <c r="G115" s="12">
        <f t="shared" si="22"/>
        <v>6679</v>
      </c>
      <c r="H115" s="12">
        <f t="shared" si="22"/>
        <v>8290</v>
      </c>
      <c r="I115" s="12">
        <f t="shared" si="22"/>
        <v>7547</v>
      </c>
    </row>
    <row r="116" ht="14.25" customHeight="1">
      <c r="A116" s="4" t="s">
        <v>113</v>
      </c>
      <c r="B116" s="21">
        <v>2016.0</v>
      </c>
      <c r="C116" s="21">
        <v>2599.0</v>
      </c>
      <c r="D116" s="21">
        <v>2920.0</v>
      </c>
      <c r="E116" s="37">
        <v>3496.0</v>
      </c>
      <c r="F116" s="37">
        <v>4262.0</v>
      </c>
      <c r="G116" s="37">
        <v>4635.0</v>
      </c>
      <c r="H116" s="22">
        <v>5748.0</v>
      </c>
      <c r="I116" s="22">
        <v>5416.0</v>
      </c>
    </row>
    <row r="117" ht="14.25" customHeight="1">
      <c r="A117" s="4" t="s">
        <v>114</v>
      </c>
      <c r="B117" s="21">
        <v>925.0</v>
      </c>
      <c r="C117" s="21">
        <v>1055.0</v>
      </c>
      <c r="D117" s="21">
        <v>1188.0</v>
      </c>
      <c r="E117" s="37">
        <v>1508.0</v>
      </c>
      <c r="F117" s="37">
        <v>1808.0</v>
      </c>
      <c r="G117" s="21">
        <v>1896.0</v>
      </c>
      <c r="H117" s="22">
        <v>2347.0</v>
      </c>
      <c r="I117" s="22">
        <v>1938.0</v>
      </c>
    </row>
    <row r="118" ht="14.25" customHeight="1">
      <c r="A118" s="4" t="s">
        <v>115</v>
      </c>
      <c r="B118" s="21">
        <v>126.0</v>
      </c>
      <c r="C118" s="21">
        <v>131.0</v>
      </c>
      <c r="D118" s="21">
        <v>129.0</v>
      </c>
      <c r="E118" s="37">
        <v>130.0</v>
      </c>
      <c r="F118" s="37">
        <v>138.0</v>
      </c>
      <c r="G118" s="21">
        <v>148.0</v>
      </c>
      <c r="H118" s="21">
        <v>195.0</v>
      </c>
      <c r="I118" s="21">
        <v>193.0</v>
      </c>
    </row>
    <row r="119" ht="14.25" customHeight="1">
      <c r="A119" s="4" t="s">
        <v>118</v>
      </c>
      <c r="B119" s="12">
        <f t="shared" ref="B119:I119" si="23">+SUM(B120:B122)</f>
        <v>4653</v>
      </c>
      <c r="C119" s="12">
        <f t="shared" si="23"/>
        <v>4317</v>
      </c>
      <c r="D119" s="12">
        <f t="shared" si="23"/>
        <v>4737</v>
      </c>
      <c r="E119" s="12">
        <f t="shared" si="23"/>
        <v>5166</v>
      </c>
      <c r="F119" s="12">
        <f t="shared" si="23"/>
        <v>5254</v>
      </c>
      <c r="G119" s="12">
        <f t="shared" si="23"/>
        <v>5028</v>
      </c>
      <c r="H119" s="12">
        <f t="shared" si="23"/>
        <v>5343</v>
      </c>
      <c r="I119" s="12">
        <f t="shared" si="23"/>
        <v>5955</v>
      </c>
    </row>
    <row r="120" ht="14.25" customHeight="1">
      <c r="A120" s="4" t="s">
        <v>113</v>
      </c>
      <c r="B120" s="21">
        <v>3093.0</v>
      </c>
      <c r="C120" s="21">
        <v>2930.0</v>
      </c>
      <c r="D120" s="21">
        <v>3285.0</v>
      </c>
      <c r="E120" s="21">
        <v>3575.0</v>
      </c>
      <c r="F120" s="21">
        <v>3622.0</v>
      </c>
      <c r="G120" s="21">
        <v>3449.0</v>
      </c>
      <c r="H120" s="22">
        <v>3659.0</v>
      </c>
      <c r="I120" s="22">
        <v>4111.0</v>
      </c>
    </row>
    <row r="121" ht="14.25" customHeight="1">
      <c r="A121" s="4" t="s">
        <v>114</v>
      </c>
      <c r="B121" s="21">
        <v>1251.0</v>
      </c>
      <c r="C121" s="21">
        <v>1117.0</v>
      </c>
      <c r="D121" s="21">
        <v>1185.0</v>
      </c>
      <c r="E121" s="21">
        <v>1347.0</v>
      </c>
      <c r="F121" s="21">
        <v>1395.0</v>
      </c>
      <c r="G121" s="21">
        <v>1365.0</v>
      </c>
      <c r="H121" s="22">
        <v>1494.0</v>
      </c>
      <c r="I121" s="22">
        <v>1610.0</v>
      </c>
    </row>
    <row r="122" ht="14.25" customHeight="1">
      <c r="A122" s="4" t="s">
        <v>115</v>
      </c>
      <c r="B122" s="21">
        <v>309.0</v>
      </c>
      <c r="C122" s="21">
        <v>270.0</v>
      </c>
      <c r="D122" s="21">
        <v>267.0</v>
      </c>
      <c r="E122" s="21">
        <v>244.0</v>
      </c>
      <c r="F122" s="21">
        <v>237.0</v>
      </c>
      <c r="G122" s="21">
        <v>214.0</v>
      </c>
      <c r="H122" s="21">
        <v>190.0</v>
      </c>
      <c r="I122" s="21">
        <v>234.0</v>
      </c>
    </row>
    <row r="123" ht="14.25" customHeight="1">
      <c r="A123" s="4" t="s">
        <v>119</v>
      </c>
      <c r="B123" s="12">
        <v>115.0</v>
      </c>
      <c r="C123" s="12">
        <v>73.0</v>
      </c>
      <c r="D123" s="12">
        <v>73.0</v>
      </c>
      <c r="E123" s="12">
        <v>88.0</v>
      </c>
      <c r="F123" s="12">
        <v>42.0</v>
      </c>
      <c r="G123" s="12">
        <v>30.0</v>
      </c>
      <c r="H123" s="9">
        <v>25.0</v>
      </c>
      <c r="I123" s="9">
        <v>102.0</v>
      </c>
    </row>
    <row r="124" ht="14.25" customHeight="1">
      <c r="A124" s="16" t="s">
        <v>120</v>
      </c>
      <c r="B124" s="17">
        <f t="shared" ref="B124:I124" si="24">+B107+B111+B115+B119+B123</f>
        <v>28701</v>
      </c>
      <c r="C124" s="17">
        <f t="shared" si="24"/>
        <v>30507</v>
      </c>
      <c r="D124" s="17">
        <f t="shared" si="24"/>
        <v>32233</v>
      </c>
      <c r="E124" s="17">
        <f t="shared" si="24"/>
        <v>34485</v>
      </c>
      <c r="F124" s="17">
        <f t="shared" si="24"/>
        <v>37218</v>
      </c>
      <c r="G124" s="17">
        <f t="shared" si="24"/>
        <v>35568</v>
      </c>
      <c r="H124" s="17">
        <f t="shared" si="24"/>
        <v>42293</v>
      </c>
      <c r="I124" s="17">
        <f t="shared" si="24"/>
        <v>44436</v>
      </c>
    </row>
    <row r="125" ht="14.25" customHeight="1">
      <c r="A125" s="4" t="s">
        <v>121</v>
      </c>
      <c r="B125" s="12">
        <v>1982.0</v>
      </c>
      <c r="C125" s="12">
        <v>1955.0</v>
      </c>
      <c r="D125" s="12">
        <v>2042.0</v>
      </c>
      <c r="E125" s="12">
        <v>1886.0</v>
      </c>
      <c r="F125" s="12">
        <v>1906.0</v>
      </c>
      <c r="G125" s="12">
        <v>1846.0</v>
      </c>
      <c r="H125" s="9">
        <f t="shared" ref="H125:I125" si="25">+SUM(H126:H129)</f>
        <v>2205</v>
      </c>
      <c r="I125" s="9">
        <f t="shared" si="25"/>
        <v>2346</v>
      </c>
    </row>
    <row r="126" ht="14.25" customHeight="1">
      <c r="A126" s="4" t="s">
        <v>113</v>
      </c>
      <c r="B126" s="38" t="s">
        <v>122</v>
      </c>
      <c r="C126" s="38" t="s">
        <v>122</v>
      </c>
      <c r="D126" s="38" t="s">
        <v>122</v>
      </c>
      <c r="E126" s="9">
        <v>1611.0</v>
      </c>
      <c r="F126" s="9">
        <v>1658.0</v>
      </c>
      <c r="G126" s="15">
        <v>1642.0</v>
      </c>
      <c r="H126" s="9">
        <v>1986.0</v>
      </c>
      <c r="I126" s="9">
        <v>2094.0</v>
      </c>
    </row>
    <row r="127" ht="14.25" customHeight="1">
      <c r="A127" s="4" t="s">
        <v>114</v>
      </c>
      <c r="B127" s="38" t="s">
        <v>122</v>
      </c>
      <c r="C127" s="38" t="s">
        <v>122</v>
      </c>
      <c r="D127" s="38" t="s">
        <v>122</v>
      </c>
      <c r="E127" s="9">
        <v>144.0</v>
      </c>
      <c r="F127" s="9">
        <v>118.0</v>
      </c>
      <c r="G127" s="9">
        <v>89.0</v>
      </c>
      <c r="H127" s="9">
        <v>104.0</v>
      </c>
      <c r="I127" s="9">
        <v>103.0</v>
      </c>
    </row>
    <row r="128" ht="14.25" customHeight="1">
      <c r="A128" s="4" t="s">
        <v>115</v>
      </c>
      <c r="B128" s="38" t="s">
        <v>122</v>
      </c>
      <c r="C128" s="38" t="s">
        <v>122</v>
      </c>
      <c r="D128" s="38" t="s">
        <v>122</v>
      </c>
      <c r="E128" s="9">
        <v>28.0</v>
      </c>
      <c r="F128" s="9">
        <v>24.0</v>
      </c>
      <c r="G128" s="9">
        <v>25.0</v>
      </c>
      <c r="H128" s="9">
        <v>29.0</v>
      </c>
      <c r="I128" s="9">
        <v>26.0</v>
      </c>
    </row>
    <row r="129" ht="14.25" customHeight="1">
      <c r="A129" s="4" t="s">
        <v>123</v>
      </c>
      <c r="B129" s="38" t="s">
        <v>122</v>
      </c>
      <c r="C129" s="38" t="s">
        <v>122</v>
      </c>
      <c r="D129" s="38" t="s">
        <v>122</v>
      </c>
      <c r="E129" s="9">
        <v>103.0</v>
      </c>
      <c r="F129" s="9">
        <v>106.0</v>
      </c>
      <c r="G129" s="9">
        <v>90.0</v>
      </c>
      <c r="H129" s="9">
        <v>86.0</v>
      </c>
      <c r="I129" s="9">
        <v>123.0</v>
      </c>
    </row>
    <row r="130" ht="14.25" customHeight="1">
      <c r="A130" s="4" t="s">
        <v>124</v>
      </c>
      <c r="B130" s="12">
        <v>-82.0</v>
      </c>
      <c r="C130" s="12">
        <v>-86.0</v>
      </c>
      <c r="D130" s="12">
        <v>75.0</v>
      </c>
      <c r="E130" s="12">
        <v>26.0</v>
      </c>
      <c r="F130" s="12">
        <v>-7.0</v>
      </c>
      <c r="G130" s="12">
        <v>-11.0</v>
      </c>
      <c r="H130" s="9">
        <v>40.0</v>
      </c>
      <c r="I130" s="9">
        <v>-72.0</v>
      </c>
    </row>
    <row r="131" ht="14.25" customHeight="1">
      <c r="A131" s="18" t="s">
        <v>125</v>
      </c>
      <c r="B131" s="19">
        <f t="shared" ref="B131:I131" si="26">+B124+B125+B130</f>
        <v>30601</v>
      </c>
      <c r="C131" s="19">
        <f t="shared" si="26"/>
        <v>32376</v>
      </c>
      <c r="D131" s="19">
        <f t="shared" si="26"/>
        <v>34350</v>
      </c>
      <c r="E131" s="19">
        <f t="shared" si="26"/>
        <v>36397</v>
      </c>
      <c r="F131" s="19">
        <f t="shared" si="26"/>
        <v>39117</v>
      </c>
      <c r="G131" s="19">
        <f t="shared" si="26"/>
        <v>37403</v>
      </c>
      <c r="H131" s="19">
        <f t="shared" si="26"/>
        <v>44538</v>
      </c>
      <c r="I131" s="19">
        <f t="shared" si="26"/>
        <v>46710</v>
      </c>
    </row>
    <row r="132" ht="14.25" customHeight="1">
      <c r="A132" s="23" t="s">
        <v>126</v>
      </c>
      <c r="B132" s="31">
        <f>+I131-I2</f>
        <v>0</v>
      </c>
      <c r="C132" s="31">
        <f t="shared" ref="C132:H132" si="27">+C131-C2</f>
        <v>0</v>
      </c>
      <c r="D132" s="31">
        <f t="shared" si="27"/>
        <v>0</v>
      </c>
      <c r="E132" s="31">
        <f t="shared" si="27"/>
        <v>0</v>
      </c>
      <c r="F132" s="31">
        <f t="shared" si="27"/>
        <v>0</v>
      </c>
      <c r="G132" s="31">
        <f t="shared" si="27"/>
        <v>0</v>
      </c>
      <c r="H132" s="31">
        <f t="shared" si="27"/>
        <v>0</v>
      </c>
      <c r="I132" s="39"/>
      <c r="J132" s="23"/>
      <c r="K132" s="23"/>
      <c r="L132" s="23"/>
      <c r="M132" s="23"/>
      <c r="N132" s="23"/>
      <c r="O132" s="23"/>
      <c r="P132" s="23"/>
      <c r="Q132" s="23"/>
      <c r="R132" s="23"/>
      <c r="S132" s="23"/>
      <c r="T132" s="23"/>
      <c r="U132" s="23"/>
      <c r="V132" s="23"/>
      <c r="W132" s="23"/>
      <c r="X132" s="23"/>
      <c r="Y132" s="23"/>
      <c r="Z132" s="23"/>
    </row>
    <row r="133" ht="14.25" customHeight="1">
      <c r="A133" s="2" t="s">
        <v>127</v>
      </c>
      <c r="B133" s="20"/>
      <c r="C133" s="20"/>
      <c r="D133" s="20"/>
      <c r="E133" s="20"/>
      <c r="F133" s="20"/>
      <c r="G133" s="20"/>
      <c r="H133" s="20"/>
      <c r="I133" s="20"/>
    </row>
    <row r="134" ht="14.25" customHeight="1">
      <c r="A134" s="4" t="s">
        <v>112</v>
      </c>
      <c r="B134" s="9">
        <v>3645.0</v>
      </c>
      <c r="C134" s="9">
        <v>3763.0</v>
      </c>
      <c r="D134" s="9">
        <v>3875.0</v>
      </c>
      <c r="E134" s="9">
        <v>3600.0</v>
      </c>
      <c r="F134" s="9">
        <v>3925.0</v>
      </c>
      <c r="G134" s="9">
        <v>2899.0</v>
      </c>
      <c r="H134" s="9">
        <v>5089.0</v>
      </c>
      <c r="I134" s="9">
        <v>5114.0</v>
      </c>
    </row>
    <row r="135" ht="14.25" customHeight="1">
      <c r="A135" s="4" t="s">
        <v>116</v>
      </c>
      <c r="B135" s="9">
        <v>1524.0</v>
      </c>
      <c r="C135" s="9">
        <v>1787.0</v>
      </c>
      <c r="D135" s="9">
        <v>1507.0</v>
      </c>
      <c r="E135" s="9">
        <v>1587.0</v>
      </c>
      <c r="F135" s="9">
        <v>1995.0</v>
      </c>
      <c r="G135" s="9">
        <v>1541.0</v>
      </c>
      <c r="H135" s="9">
        <v>2435.0</v>
      </c>
      <c r="I135" s="9">
        <v>3293.0</v>
      </c>
    </row>
    <row r="136" ht="14.25" customHeight="1">
      <c r="A136" s="4" t="s">
        <v>117</v>
      </c>
      <c r="B136" s="9">
        <v>993.0</v>
      </c>
      <c r="C136" s="9">
        <v>1372.0</v>
      </c>
      <c r="D136" s="9">
        <v>1507.0</v>
      </c>
      <c r="E136" s="9">
        <v>1807.0</v>
      </c>
      <c r="F136" s="9">
        <v>2376.0</v>
      </c>
      <c r="G136" s="9">
        <v>2490.0</v>
      </c>
      <c r="H136" s="9">
        <v>3243.0</v>
      </c>
      <c r="I136" s="9">
        <v>2365.0</v>
      </c>
    </row>
    <row r="137" ht="14.25" customHeight="1">
      <c r="A137" s="4" t="s">
        <v>118</v>
      </c>
      <c r="B137" s="9">
        <v>918.0</v>
      </c>
      <c r="C137" s="9">
        <v>1002.0</v>
      </c>
      <c r="D137" s="9">
        <v>980.0</v>
      </c>
      <c r="E137" s="9">
        <v>1189.0</v>
      </c>
      <c r="F137" s="9">
        <v>1323.0</v>
      </c>
      <c r="G137" s="9">
        <v>1184.0</v>
      </c>
      <c r="H137" s="9">
        <v>1530.0</v>
      </c>
      <c r="I137" s="9">
        <v>1896.0</v>
      </c>
    </row>
    <row r="138" ht="14.25" customHeight="1">
      <c r="A138" s="4" t="s">
        <v>119</v>
      </c>
      <c r="B138" s="9">
        <v>-2263.0</v>
      </c>
      <c r="C138" s="9">
        <v>-2596.0</v>
      </c>
      <c r="D138" s="9">
        <v>-2677.0</v>
      </c>
      <c r="E138" s="9">
        <v>-2658.0</v>
      </c>
      <c r="F138" s="9">
        <v>-3262.0</v>
      </c>
      <c r="G138" s="9">
        <v>-3468.0</v>
      </c>
      <c r="H138" s="9">
        <v>-3656.0</v>
      </c>
      <c r="I138" s="9">
        <v>-4262.0</v>
      </c>
    </row>
    <row r="139" ht="14.25" customHeight="1">
      <c r="A139" s="16" t="s">
        <v>120</v>
      </c>
      <c r="B139" s="17">
        <f t="shared" ref="B139:I139" si="28">+SUM(B134:B138)</f>
        <v>4817</v>
      </c>
      <c r="C139" s="17">
        <f t="shared" si="28"/>
        <v>5328</v>
      </c>
      <c r="D139" s="17">
        <f t="shared" si="28"/>
        <v>5192</v>
      </c>
      <c r="E139" s="17">
        <f t="shared" si="28"/>
        <v>5525</v>
      </c>
      <c r="F139" s="17">
        <f t="shared" si="28"/>
        <v>6357</v>
      </c>
      <c r="G139" s="17">
        <f t="shared" si="28"/>
        <v>4646</v>
      </c>
      <c r="H139" s="17">
        <f t="shared" si="28"/>
        <v>8641</v>
      </c>
      <c r="I139" s="17">
        <f t="shared" si="28"/>
        <v>8406</v>
      </c>
    </row>
    <row r="140" ht="14.25" customHeight="1">
      <c r="A140" s="4" t="s">
        <v>121</v>
      </c>
      <c r="B140" s="9">
        <v>517.0</v>
      </c>
      <c r="C140" s="9">
        <v>487.0</v>
      </c>
      <c r="D140" s="9">
        <v>477.0</v>
      </c>
      <c r="E140" s="9">
        <v>310.0</v>
      </c>
      <c r="F140" s="9">
        <v>303.0</v>
      </c>
      <c r="G140" s="9">
        <v>297.0</v>
      </c>
      <c r="H140" s="9">
        <v>543.0</v>
      </c>
      <c r="I140" s="9">
        <v>669.0</v>
      </c>
    </row>
    <row r="141" ht="14.25" customHeight="1">
      <c r="A141" s="4" t="s">
        <v>124</v>
      </c>
      <c r="B141" s="9">
        <v>-1101.0</v>
      </c>
      <c r="C141" s="9">
        <v>-1173.0</v>
      </c>
      <c r="D141" s="9">
        <v>-724.0</v>
      </c>
      <c r="E141" s="9">
        <v>-1456.0</v>
      </c>
      <c r="F141" s="9">
        <v>-1810.0</v>
      </c>
      <c r="G141" s="9">
        <v>-1967.0</v>
      </c>
      <c r="H141" s="9">
        <v>-2261.0</v>
      </c>
      <c r="I141" s="9">
        <v>-2219.0</v>
      </c>
    </row>
    <row r="142" ht="14.25" customHeight="1">
      <c r="A142" s="18" t="s">
        <v>128</v>
      </c>
      <c r="B142" s="19">
        <f t="shared" ref="B142:I142" si="29">+SUM(B139:B141)</f>
        <v>4233</v>
      </c>
      <c r="C142" s="19">
        <f t="shared" si="29"/>
        <v>4642</v>
      </c>
      <c r="D142" s="19">
        <f t="shared" si="29"/>
        <v>4945</v>
      </c>
      <c r="E142" s="19">
        <f t="shared" si="29"/>
        <v>4379</v>
      </c>
      <c r="F142" s="19">
        <f t="shared" si="29"/>
        <v>4850</v>
      </c>
      <c r="G142" s="19">
        <f t="shared" si="29"/>
        <v>2976</v>
      </c>
      <c r="H142" s="19">
        <f t="shared" si="29"/>
        <v>6923</v>
      </c>
      <c r="I142" s="19">
        <f t="shared" si="29"/>
        <v>6856</v>
      </c>
    </row>
    <row r="143" ht="14.25" customHeight="1">
      <c r="A143" s="23" t="s">
        <v>126</v>
      </c>
      <c r="B143" s="31">
        <f t="shared" ref="B143:I143" si="30">+B142-B10-B8</f>
        <v>0</v>
      </c>
      <c r="C143" s="31">
        <f t="shared" si="30"/>
        <v>0</v>
      </c>
      <c r="D143" s="31">
        <f t="shared" si="30"/>
        <v>0</v>
      </c>
      <c r="E143" s="31">
        <f t="shared" si="30"/>
        <v>0</v>
      </c>
      <c r="F143" s="31">
        <f t="shared" si="30"/>
        <v>0</v>
      </c>
      <c r="G143" s="31">
        <f t="shared" si="30"/>
        <v>0</v>
      </c>
      <c r="H143" s="31">
        <f t="shared" si="30"/>
        <v>0</v>
      </c>
      <c r="I143" s="31">
        <f t="shared" si="30"/>
        <v>0</v>
      </c>
      <c r="J143" s="23"/>
      <c r="K143" s="23"/>
      <c r="L143" s="23"/>
      <c r="M143" s="23"/>
      <c r="N143" s="23"/>
      <c r="O143" s="23"/>
      <c r="P143" s="23"/>
      <c r="Q143" s="23"/>
      <c r="R143" s="23"/>
      <c r="S143" s="23"/>
      <c r="T143" s="23"/>
      <c r="U143" s="23"/>
      <c r="V143" s="23"/>
      <c r="W143" s="23"/>
      <c r="X143" s="23"/>
      <c r="Y143" s="23"/>
      <c r="Z143" s="23"/>
    </row>
    <row r="144" ht="14.25" customHeight="1">
      <c r="A144" s="2" t="s">
        <v>129</v>
      </c>
      <c r="B144" s="20"/>
      <c r="C144" s="20"/>
      <c r="D144" s="20"/>
      <c r="E144" s="20"/>
      <c r="F144" s="20"/>
      <c r="G144" s="20"/>
      <c r="H144" s="20"/>
      <c r="I144" s="20"/>
    </row>
    <row r="145" ht="14.25" customHeight="1">
      <c r="A145" s="4" t="s">
        <v>112</v>
      </c>
      <c r="B145" s="9">
        <v>632.0</v>
      </c>
      <c r="C145" s="9">
        <v>742.0</v>
      </c>
      <c r="D145" s="9">
        <v>819.0</v>
      </c>
      <c r="E145" s="9">
        <v>848.0</v>
      </c>
      <c r="F145" s="9">
        <v>814.0</v>
      </c>
      <c r="G145" s="9">
        <v>645.0</v>
      </c>
      <c r="H145" s="9">
        <v>617.0</v>
      </c>
      <c r="I145" s="9">
        <v>639.0</v>
      </c>
    </row>
    <row r="146" ht="14.25" customHeight="1">
      <c r="A146" s="4" t="s">
        <v>116</v>
      </c>
      <c r="B146" s="9">
        <v>498.0</v>
      </c>
      <c r="C146" s="9">
        <v>639.0</v>
      </c>
      <c r="D146" s="9">
        <v>709.0</v>
      </c>
      <c r="E146" s="9">
        <v>849.0</v>
      </c>
      <c r="F146" s="9">
        <v>929.0</v>
      </c>
      <c r="G146" s="9">
        <v>885.0</v>
      </c>
      <c r="H146" s="9">
        <v>982.0</v>
      </c>
      <c r="I146" s="9">
        <v>920.0</v>
      </c>
    </row>
    <row r="147" ht="14.25" customHeight="1">
      <c r="A147" s="4" t="s">
        <v>117</v>
      </c>
      <c r="B147" s="9">
        <v>254.0</v>
      </c>
      <c r="C147" s="9">
        <v>234.0</v>
      </c>
      <c r="D147" s="9">
        <v>225.0</v>
      </c>
      <c r="E147" s="9">
        <v>256.0</v>
      </c>
      <c r="F147" s="9">
        <v>237.0</v>
      </c>
      <c r="G147" s="9">
        <v>214.0</v>
      </c>
      <c r="H147" s="9">
        <v>288.0</v>
      </c>
      <c r="I147" s="9">
        <v>303.0</v>
      </c>
    </row>
    <row r="148" ht="14.25" customHeight="1">
      <c r="A148" s="4" t="s">
        <v>130</v>
      </c>
      <c r="B148" s="9">
        <v>308.0</v>
      </c>
      <c r="C148" s="9">
        <v>332.0</v>
      </c>
      <c r="D148" s="9">
        <v>340.0</v>
      </c>
      <c r="E148" s="9">
        <v>339.0</v>
      </c>
      <c r="F148" s="9">
        <v>326.0</v>
      </c>
      <c r="G148" s="9">
        <v>296.0</v>
      </c>
      <c r="H148" s="9">
        <v>304.0</v>
      </c>
      <c r="I148" s="9">
        <v>274.0</v>
      </c>
    </row>
    <row r="149" ht="14.25" customHeight="1">
      <c r="A149" s="4" t="s">
        <v>119</v>
      </c>
      <c r="B149" s="9">
        <v>484.0</v>
      </c>
      <c r="C149" s="9">
        <v>511.0</v>
      </c>
      <c r="D149" s="9">
        <v>533.0</v>
      </c>
      <c r="E149" s="9">
        <v>597.0</v>
      </c>
      <c r="F149" s="9">
        <v>665.0</v>
      </c>
      <c r="G149" s="9">
        <v>830.0</v>
      </c>
      <c r="H149" s="9">
        <v>780.0</v>
      </c>
      <c r="I149" s="9">
        <v>789.0</v>
      </c>
    </row>
    <row r="150" ht="14.25" customHeight="1">
      <c r="A150" s="16" t="s">
        <v>131</v>
      </c>
      <c r="B150" s="17">
        <f t="shared" ref="B150:I150" si="31">+SUM(B145:B149)</f>
        <v>2176</v>
      </c>
      <c r="C150" s="17">
        <f t="shared" si="31"/>
        <v>2458</v>
      </c>
      <c r="D150" s="17">
        <f t="shared" si="31"/>
        <v>2626</v>
      </c>
      <c r="E150" s="17">
        <f t="shared" si="31"/>
        <v>2889</v>
      </c>
      <c r="F150" s="17">
        <f t="shared" si="31"/>
        <v>2971</v>
      </c>
      <c r="G150" s="17">
        <f t="shared" si="31"/>
        <v>2870</v>
      </c>
      <c r="H150" s="17">
        <f t="shared" si="31"/>
        <v>2971</v>
      </c>
      <c r="I150" s="17">
        <f t="shared" si="31"/>
        <v>2925</v>
      </c>
    </row>
    <row r="151" ht="14.25" customHeight="1">
      <c r="A151" s="4" t="s">
        <v>121</v>
      </c>
      <c r="B151" s="9">
        <v>122.0</v>
      </c>
      <c r="C151" s="9">
        <v>125.0</v>
      </c>
      <c r="D151" s="9">
        <v>125.0</v>
      </c>
      <c r="E151" s="9">
        <v>115.0</v>
      </c>
      <c r="F151" s="9">
        <v>100.0</v>
      </c>
      <c r="G151" s="9">
        <v>80.0</v>
      </c>
      <c r="H151" s="9">
        <v>63.0</v>
      </c>
      <c r="I151" s="9">
        <v>49.0</v>
      </c>
    </row>
    <row r="152" ht="14.25" customHeight="1">
      <c r="A152" s="4" t="s">
        <v>124</v>
      </c>
      <c r="B152" s="9">
        <v>713.0</v>
      </c>
      <c r="C152" s="9">
        <v>937.0</v>
      </c>
      <c r="D152" s="9">
        <v>1238.0</v>
      </c>
      <c r="E152" s="9">
        <v>1450.0</v>
      </c>
      <c r="F152" s="9">
        <v>1673.0</v>
      </c>
      <c r="G152" s="9">
        <v>1916.0</v>
      </c>
      <c r="H152" s="9">
        <v>1870.0</v>
      </c>
      <c r="I152" s="9">
        <v>1817.0</v>
      </c>
    </row>
    <row r="153" ht="14.25" customHeight="1">
      <c r="A153" s="18" t="s">
        <v>132</v>
      </c>
      <c r="B153" s="19">
        <f t="shared" ref="B153:I153" si="32">+SUM(B150:B152)</f>
        <v>3011</v>
      </c>
      <c r="C153" s="19">
        <f t="shared" si="32"/>
        <v>3520</v>
      </c>
      <c r="D153" s="19">
        <f t="shared" si="32"/>
        <v>3989</v>
      </c>
      <c r="E153" s="19">
        <f t="shared" si="32"/>
        <v>4454</v>
      </c>
      <c r="F153" s="19">
        <f t="shared" si="32"/>
        <v>4744</v>
      </c>
      <c r="G153" s="19">
        <f t="shared" si="32"/>
        <v>4866</v>
      </c>
      <c r="H153" s="19">
        <f t="shared" si="32"/>
        <v>4904</v>
      </c>
      <c r="I153" s="19">
        <f t="shared" si="32"/>
        <v>4791</v>
      </c>
    </row>
    <row r="154" ht="14.25" customHeight="1">
      <c r="A154" s="23" t="s">
        <v>126</v>
      </c>
      <c r="B154" s="31">
        <f t="shared" ref="B154:I154" si="33">+B153-B31</f>
        <v>0</v>
      </c>
      <c r="C154" s="31">
        <f t="shared" si="33"/>
        <v>0</v>
      </c>
      <c r="D154" s="31">
        <f t="shared" si="33"/>
        <v>0</v>
      </c>
      <c r="E154" s="31">
        <f t="shared" si="33"/>
        <v>0</v>
      </c>
      <c r="F154" s="31">
        <f t="shared" si="33"/>
        <v>0</v>
      </c>
      <c r="G154" s="31">
        <f t="shared" si="33"/>
        <v>0</v>
      </c>
      <c r="H154" s="31">
        <f t="shared" si="33"/>
        <v>0</v>
      </c>
      <c r="I154" s="31">
        <f t="shared" si="33"/>
        <v>0</v>
      </c>
    </row>
    <row r="155" ht="14.25" customHeight="1">
      <c r="A155" s="2" t="s">
        <v>133</v>
      </c>
      <c r="B155" s="20"/>
      <c r="C155" s="20"/>
      <c r="D155" s="20"/>
      <c r="E155" s="20"/>
      <c r="F155" s="20"/>
      <c r="G155" s="20"/>
      <c r="H155" s="20"/>
      <c r="I155" s="20"/>
    </row>
    <row r="156" ht="14.25" customHeight="1">
      <c r="A156" s="4" t="s">
        <v>112</v>
      </c>
      <c r="B156" s="9">
        <v>208.0</v>
      </c>
      <c r="C156" s="9">
        <v>242.0</v>
      </c>
      <c r="D156" s="9">
        <v>223.0</v>
      </c>
      <c r="E156" s="9">
        <v>196.0</v>
      </c>
      <c r="F156" s="9">
        <v>117.0</v>
      </c>
      <c r="G156" s="9">
        <v>110.0</v>
      </c>
      <c r="H156" s="9">
        <v>98.0</v>
      </c>
      <c r="I156" s="9">
        <v>146.0</v>
      </c>
    </row>
    <row r="157" ht="14.25" customHeight="1">
      <c r="A157" s="4" t="s">
        <v>116</v>
      </c>
      <c r="B157" s="9">
        <v>236.0</v>
      </c>
      <c r="C157" s="9">
        <v>232.0</v>
      </c>
      <c r="D157" s="9">
        <v>173.0</v>
      </c>
      <c r="E157" s="9">
        <v>240.0</v>
      </c>
      <c r="F157" s="9">
        <v>233.0</v>
      </c>
      <c r="G157" s="9">
        <v>139.0</v>
      </c>
      <c r="H157" s="9">
        <v>153.0</v>
      </c>
      <c r="I157" s="9">
        <v>197.0</v>
      </c>
    </row>
    <row r="158" ht="14.25" customHeight="1">
      <c r="A158" s="4" t="s">
        <v>117</v>
      </c>
      <c r="B158" s="9">
        <v>69.0</v>
      </c>
      <c r="C158" s="9">
        <v>44.0</v>
      </c>
      <c r="D158" s="9">
        <v>51.0</v>
      </c>
      <c r="E158" s="9">
        <v>76.0</v>
      </c>
      <c r="F158" s="9">
        <v>49.0</v>
      </c>
      <c r="G158" s="9">
        <v>28.0</v>
      </c>
      <c r="H158" s="9">
        <v>94.0</v>
      </c>
      <c r="I158" s="9">
        <v>78.0</v>
      </c>
    </row>
    <row r="159" ht="14.25" customHeight="1">
      <c r="A159" s="4" t="s">
        <v>130</v>
      </c>
      <c r="B159" s="9">
        <v>52.0</v>
      </c>
      <c r="C159" s="9">
        <v>64.0</v>
      </c>
      <c r="D159" s="9">
        <v>59.0</v>
      </c>
      <c r="E159" s="9">
        <v>49.0</v>
      </c>
      <c r="F159" s="9">
        <v>47.0</v>
      </c>
      <c r="G159" s="9">
        <v>41.0</v>
      </c>
      <c r="H159" s="9">
        <v>54.0</v>
      </c>
      <c r="I159" s="9">
        <v>56.0</v>
      </c>
    </row>
    <row r="160" ht="14.25" customHeight="1">
      <c r="A160" s="4" t="s">
        <v>119</v>
      </c>
      <c r="B160" s="9">
        <v>225.0</v>
      </c>
      <c r="C160" s="9">
        <v>258.0</v>
      </c>
      <c r="D160" s="9">
        <v>278.0</v>
      </c>
      <c r="E160" s="9">
        <v>286.0</v>
      </c>
      <c r="F160" s="9">
        <v>278.0</v>
      </c>
      <c r="G160" s="9">
        <v>438.0</v>
      </c>
      <c r="H160" s="9">
        <v>278.0</v>
      </c>
      <c r="I160" s="9">
        <v>222.0</v>
      </c>
    </row>
    <row r="161" ht="14.25" customHeight="1">
      <c r="A161" s="16" t="s">
        <v>131</v>
      </c>
      <c r="B161" s="17">
        <f t="shared" ref="B161:I161" si="34">+SUM(B156:B160)</f>
        <v>790</v>
      </c>
      <c r="C161" s="17">
        <f t="shared" si="34"/>
        <v>840</v>
      </c>
      <c r="D161" s="17">
        <f t="shared" si="34"/>
        <v>784</v>
      </c>
      <c r="E161" s="17">
        <f t="shared" si="34"/>
        <v>847</v>
      </c>
      <c r="F161" s="17">
        <f t="shared" si="34"/>
        <v>724</v>
      </c>
      <c r="G161" s="17">
        <f t="shared" si="34"/>
        <v>756</v>
      </c>
      <c r="H161" s="17">
        <f t="shared" si="34"/>
        <v>677</v>
      </c>
      <c r="I161" s="17">
        <f t="shared" si="34"/>
        <v>699</v>
      </c>
    </row>
    <row r="162" ht="14.25" customHeight="1">
      <c r="A162" s="4" t="s">
        <v>121</v>
      </c>
      <c r="B162" s="9">
        <v>69.0</v>
      </c>
      <c r="C162" s="9">
        <v>39.0</v>
      </c>
      <c r="D162" s="9">
        <v>30.0</v>
      </c>
      <c r="E162" s="9">
        <v>22.0</v>
      </c>
      <c r="F162" s="9">
        <v>18.0</v>
      </c>
      <c r="G162" s="9">
        <v>12.0</v>
      </c>
      <c r="H162" s="9">
        <v>7.0</v>
      </c>
      <c r="I162" s="9">
        <v>9.0</v>
      </c>
    </row>
    <row r="163" ht="14.25" customHeight="1">
      <c r="A163" s="4" t="s">
        <v>124</v>
      </c>
      <c r="B163" s="9">
        <v>144.0</v>
      </c>
      <c r="C163" s="9">
        <v>312.0</v>
      </c>
      <c r="D163" s="9">
        <v>387.0</v>
      </c>
      <c r="E163" s="9">
        <v>325.0</v>
      </c>
      <c r="F163" s="9">
        <v>333.0</v>
      </c>
      <c r="G163" s="15">
        <v>356.0</v>
      </c>
      <c r="H163" s="9">
        <v>107.0</v>
      </c>
      <c r="I163" s="9">
        <f>-(SUM(I161:I162)+I79)</f>
        <v>-8907</v>
      </c>
    </row>
    <row r="164" ht="14.25" customHeight="1">
      <c r="A164" s="18" t="s">
        <v>134</v>
      </c>
      <c r="B164" s="40">
        <f t="shared" ref="B164:I164" si="35">+SUM(B161:B163)</f>
        <v>1003</v>
      </c>
      <c r="C164" s="40">
        <f t="shared" si="35"/>
        <v>1191</v>
      </c>
      <c r="D164" s="40">
        <f t="shared" si="35"/>
        <v>1201</v>
      </c>
      <c r="E164" s="40">
        <f t="shared" si="35"/>
        <v>1194</v>
      </c>
      <c r="F164" s="40">
        <f t="shared" si="35"/>
        <v>1075</v>
      </c>
      <c r="G164" s="40">
        <f t="shared" si="35"/>
        <v>1124</v>
      </c>
      <c r="H164" s="40">
        <f t="shared" si="35"/>
        <v>791</v>
      </c>
      <c r="I164" s="40">
        <f t="shared" si="35"/>
        <v>-8199</v>
      </c>
    </row>
    <row r="165" ht="14.25" customHeight="1">
      <c r="A165" s="23" t="s">
        <v>126</v>
      </c>
      <c r="B165" s="31">
        <f t="shared" ref="B165:I165" si="36">+B164+B81</f>
        <v>40</v>
      </c>
      <c r="C165" s="31">
        <f t="shared" si="36"/>
        <v>48</v>
      </c>
      <c r="D165" s="31">
        <f t="shared" si="36"/>
        <v>96</v>
      </c>
      <c r="E165" s="31">
        <f t="shared" si="36"/>
        <v>166</v>
      </c>
      <c r="F165" s="31">
        <f t="shared" si="36"/>
        <v>-44</v>
      </c>
      <c r="G165" s="31">
        <f t="shared" si="36"/>
        <v>38</v>
      </c>
      <c r="H165" s="31">
        <f t="shared" si="36"/>
        <v>96</v>
      </c>
      <c r="I165" s="31">
        <f t="shared" si="36"/>
        <v>-8957</v>
      </c>
    </row>
    <row r="166" ht="14.25" customHeight="1">
      <c r="A166" s="2" t="s">
        <v>135</v>
      </c>
      <c r="B166" s="20"/>
      <c r="C166" s="20"/>
      <c r="D166" s="20"/>
      <c r="E166" s="20"/>
      <c r="F166" s="20"/>
      <c r="G166" s="20"/>
      <c r="H166" s="20"/>
      <c r="I166" s="20"/>
    </row>
    <row r="167" ht="14.25" customHeight="1">
      <c r="A167" s="4" t="s">
        <v>112</v>
      </c>
      <c r="B167" s="9">
        <v>121.0</v>
      </c>
      <c r="C167" s="9">
        <v>133.0</v>
      </c>
      <c r="D167" s="9">
        <v>140.0</v>
      </c>
      <c r="E167" s="9">
        <v>160.0</v>
      </c>
      <c r="F167" s="9">
        <v>149.0</v>
      </c>
      <c r="G167" s="9">
        <v>148.0</v>
      </c>
      <c r="H167" s="9">
        <v>130.0</v>
      </c>
      <c r="I167" s="9">
        <v>124.0</v>
      </c>
    </row>
    <row r="168" ht="14.25" customHeight="1">
      <c r="A168" s="4" t="s">
        <v>116</v>
      </c>
      <c r="B168" s="9">
        <v>87.0</v>
      </c>
      <c r="C168" s="9">
        <v>84.0</v>
      </c>
      <c r="D168" s="9">
        <v>104.0</v>
      </c>
      <c r="E168" s="9">
        <v>116.0</v>
      </c>
      <c r="F168" s="9">
        <v>111.0</v>
      </c>
      <c r="G168" s="9">
        <v>132.0</v>
      </c>
      <c r="H168" s="9">
        <v>136.0</v>
      </c>
      <c r="I168" s="9">
        <v>134.0</v>
      </c>
    </row>
    <row r="169" ht="14.25" customHeight="1">
      <c r="A169" s="4" t="s">
        <v>117</v>
      </c>
      <c r="B169" s="9">
        <v>46.0</v>
      </c>
      <c r="C169" s="9">
        <v>48.0</v>
      </c>
      <c r="D169" s="9">
        <v>54.0</v>
      </c>
      <c r="E169" s="9">
        <v>56.0</v>
      </c>
      <c r="F169" s="9">
        <v>50.0</v>
      </c>
      <c r="G169" s="9">
        <v>44.0</v>
      </c>
      <c r="H169" s="9">
        <v>46.0</v>
      </c>
      <c r="I169" s="9">
        <v>41.0</v>
      </c>
    </row>
    <row r="170" ht="14.25" customHeight="1">
      <c r="A170" s="4" t="s">
        <v>118</v>
      </c>
      <c r="B170" s="9">
        <v>49.0</v>
      </c>
      <c r="C170" s="9">
        <v>43.0</v>
      </c>
      <c r="D170" s="9">
        <v>56.0</v>
      </c>
      <c r="E170" s="9">
        <v>55.0</v>
      </c>
      <c r="F170" s="9">
        <v>53.0</v>
      </c>
      <c r="G170" s="9">
        <v>46.0</v>
      </c>
      <c r="H170" s="9">
        <v>43.0</v>
      </c>
      <c r="I170" s="9">
        <v>42.0</v>
      </c>
    </row>
    <row r="171" ht="14.25" customHeight="1">
      <c r="A171" s="4" t="s">
        <v>119</v>
      </c>
      <c r="B171" s="9">
        <v>210.0</v>
      </c>
      <c r="C171" s="9">
        <v>230.0</v>
      </c>
      <c r="D171" s="9">
        <v>233.0</v>
      </c>
      <c r="E171" s="9">
        <v>217.0</v>
      </c>
      <c r="F171" s="9">
        <v>195.0</v>
      </c>
      <c r="G171" s="9">
        <v>214.0</v>
      </c>
      <c r="H171" s="9">
        <v>222.0</v>
      </c>
      <c r="I171" s="9">
        <v>220.0</v>
      </c>
    </row>
    <row r="172" ht="14.25" customHeight="1">
      <c r="A172" s="16" t="s">
        <v>131</v>
      </c>
      <c r="B172" s="17">
        <f t="shared" ref="B172:I172" si="37">+SUM(B167:B171)</f>
        <v>513</v>
      </c>
      <c r="C172" s="17">
        <f t="shared" si="37"/>
        <v>538</v>
      </c>
      <c r="D172" s="17">
        <f t="shared" si="37"/>
        <v>587</v>
      </c>
      <c r="E172" s="17">
        <f t="shared" si="37"/>
        <v>604</v>
      </c>
      <c r="F172" s="17">
        <f t="shared" si="37"/>
        <v>558</v>
      </c>
      <c r="G172" s="17">
        <f t="shared" si="37"/>
        <v>584</v>
      </c>
      <c r="H172" s="17">
        <f t="shared" si="37"/>
        <v>577</v>
      </c>
      <c r="I172" s="17">
        <f t="shared" si="37"/>
        <v>561</v>
      </c>
    </row>
    <row r="173" ht="14.25" customHeight="1">
      <c r="A173" s="4" t="s">
        <v>121</v>
      </c>
      <c r="B173" s="9">
        <v>18.0</v>
      </c>
      <c r="C173" s="9">
        <v>27.0</v>
      </c>
      <c r="D173" s="9">
        <v>28.0</v>
      </c>
      <c r="E173" s="9">
        <v>33.0</v>
      </c>
      <c r="F173" s="9">
        <v>31.0</v>
      </c>
      <c r="G173" s="9">
        <v>25.0</v>
      </c>
      <c r="H173" s="9">
        <v>26.0</v>
      </c>
      <c r="I173" s="9">
        <v>22.0</v>
      </c>
    </row>
    <row r="174" ht="14.25" customHeight="1">
      <c r="A174" s="4" t="s">
        <v>124</v>
      </c>
      <c r="B174" s="9">
        <v>75.0</v>
      </c>
      <c r="C174" s="9">
        <v>84.0</v>
      </c>
      <c r="D174" s="9">
        <v>91.0</v>
      </c>
      <c r="E174" s="9">
        <v>110.0</v>
      </c>
      <c r="F174" s="9">
        <v>116.0</v>
      </c>
      <c r="G174" s="9">
        <v>112.0</v>
      </c>
      <c r="H174" s="9">
        <v>141.0</v>
      </c>
      <c r="I174" s="9">
        <v>134.0</v>
      </c>
    </row>
    <row r="175" ht="14.25" customHeight="1">
      <c r="A175" s="18" t="s">
        <v>136</v>
      </c>
      <c r="B175" s="19">
        <f t="shared" ref="B175:I175" si="38">+SUM(B172:B174)</f>
        <v>606</v>
      </c>
      <c r="C175" s="19">
        <f t="shared" si="38"/>
        <v>649</v>
      </c>
      <c r="D175" s="19">
        <f t="shared" si="38"/>
        <v>706</v>
      </c>
      <c r="E175" s="19">
        <f t="shared" si="38"/>
        <v>747</v>
      </c>
      <c r="F175" s="19">
        <f t="shared" si="38"/>
        <v>705</v>
      </c>
      <c r="G175" s="19">
        <f t="shared" si="38"/>
        <v>721</v>
      </c>
      <c r="H175" s="19">
        <f t="shared" si="38"/>
        <v>744</v>
      </c>
      <c r="I175" s="19">
        <f t="shared" si="38"/>
        <v>717</v>
      </c>
    </row>
    <row r="176" ht="14.25" customHeight="1">
      <c r="A176" s="23" t="s">
        <v>126</v>
      </c>
      <c r="B176" s="31">
        <f t="shared" ref="B176:I176" si="39">+B175-B66</f>
        <v>0</v>
      </c>
      <c r="C176" s="31">
        <f t="shared" si="39"/>
        <v>0</v>
      </c>
      <c r="D176" s="31">
        <f t="shared" si="39"/>
        <v>0</v>
      </c>
      <c r="E176" s="31">
        <f t="shared" si="39"/>
        <v>0</v>
      </c>
      <c r="F176" s="31">
        <f t="shared" si="39"/>
        <v>0</v>
      </c>
      <c r="G176" s="31">
        <f t="shared" si="39"/>
        <v>0</v>
      </c>
      <c r="H176" s="31">
        <f t="shared" si="39"/>
        <v>0</v>
      </c>
      <c r="I176" s="31">
        <f t="shared" si="39"/>
        <v>0</v>
      </c>
    </row>
    <row r="177" ht="14.25" customHeight="1">
      <c r="A177" s="25" t="s">
        <v>137</v>
      </c>
      <c r="B177" s="32"/>
      <c r="C177" s="32"/>
      <c r="D177" s="32"/>
      <c r="E177" s="32"/>
      <c r="F177" s="32"/>
      <c r="G177" s="32"/>
      <c r="H177" s="32"/>
      <c r="I177" s="32"/>
    </row>
    <row r="178" ht="14.25" customHeight="1">
      <c r="A178" s="26" t="s">
        <v>138</v>
      </c>
      <c r="B178" s="20"/>
      <c r="C178" s="20"/>
      <c r="D178" s="20"/>
      <c r="E178" s="20"/>
      <c r="F178" s="20"/>
      <c r="G178" s="20"/>
      <c r="H178" s="20"/>
      <c r="I178" s="20"/>
    </row>
    <row r="179" ht="14.25" customHeight="1">
      <c r="A179" s="41" t="s">
        <v>112</v>
      </c>
      <c r="B179" s="42">
        <v>0.14</v>
      </c>
      <c r="C179" s="42">
        <v>0.08</v>
      </c>
      <c r="D179" s="42">
        <v>0.03</v>
      </c>
      <c r="E179" s="42">
        <v>-0.02</v>
      </c>
      <c r="F179" s="42">
        <v>0.07</v>
      </c>
      <c r="G179" s="42">
        <v>-0.09</v>
      </c>
      <c r="H179" s="42">
        <v>0.19</v>
      </c>
      <c r="I179" s="42">
        <v>0.07</v>
      </c>
    </row>
    <row r="180" ht="14.25" customHeight="1">
      <c r="A180" s="43" t="s">
        <v>113</v>
      </c>
      <c r="B180" s="44">
        <v>0.12</v>
      </c>
      <c r="C180" s="44">
        <v>0.09</v>
      </c>
      <c r="D180" s="44">
        <v>0.04</v>
      </c>
      <c r="E180" s="44">
        <v>-0.04</v>
      </c>
      <c r="F180" s="44">
        <v>0.08</v>
      </c>
      <c r="G180" s="44">
        <v>-0.07</v>
      </c>
      <c r="H180" s="44">
        <v>0.25</v>
      </c>
      <c r="I180" s="44">
        <v>0.05</v>
      </c>
    </row>
    <row r="181" ht="14.25" customHeight="1">
      <c r="A181" s="43" t="s">
        <v>114</v>
      </c>
      <c r="B181" s="44">
        <v>-0.05</v>
      </c>
      <c r="C181" s="44">
        <v>0.08</v>
      </c>
      <c r="D181" s="44">
        <v>0.03</v>
      </c>
      <c r="E181" s="44">
        <v>0.01</v>
      </c>
      <c r="F181" s="44">
        <v>0.07</v>
      </c>
      <c r="G181" s="44">
        <v>-0.12</v>
      </c>
      <c r="H181" s="44">
        <v>0.08</v>
      </c>
      <c r="I181" s="44">
        <v>0.09</v>
      </c>
    </row>
    <row r="182" ht="14.25" customHeight="1">
      <c r="A182" s="43" t="s">
        <v>115</v>
      </c>
      <c r="B182" s="44">
        <v>0.12</v>
      </c>
      <c r="C182" s="44">
        <v>-0.13</v>
      </c>
      <c r="D182" s="44">
        <v>-0.1</v>
      </c>
      <c r="E182" s="44">
        <v>-0.08</v>
      </c>
      <c r="F182" s="44">
        <v>0.0</v>
      </c>
      <c r="G182" s="44">
        <v>-0.14</v>
      </c>
      <c r="H182" s="44">
        <v>-0.02</v>
      </c>
      <c r="I182" s="44">
        <v>0.25</v>
      </c>
    </row>
    <row r="183" ht="14.25" customHeight="1">
      <c r="A183" s="41" t="s">
        <v>116</v>
      </c>
      <c r="B183" s="45">
        <v>0.2</v>
      </c>
      <c r="C183" s="45">
        <v>0.15</v>
      </c>
      <c r="D183" s="45">
        <v>0.1</v>
      </c>
      <c r="E183" s="45">
        <v>0.09</v>
      </c>
      <c r="F183" s="45">
        <v>0.11</v>
      </c>
      <c r="G183" s="45">
        <v>-0.01</v>
      </c>
      <c r="H183" s="45">
        <v>0.17</v>
      </c>
      <c r="I183" s="45">
        <v>0.12</v>
      </c>
    </row>
    <row r="184" ht="14.25" customHeight="1">
      <c r="A184" s="43" t="s">
        <v>113</v>
      </c>
      <c r="B184" s="44">
        <v>0.24</v>
      </c>
      <c r="C184" s="44">
        <v>0.16</v>
      </c>
      <c r="D184" s="44">
        <v>0.08</v>
      </c>
      <c r="E184" s="44">
        <v>0.06</v>
      </c>
      <c r="F184" s="44">
        <v>0.12</v>
      </c>
      <c r="G184" s="44">
        <v>-0.03</v>
      </c>
      <c r="H184" s="44">
        <v>0.19</v>
      </c>
      <c r="I184" s="44">
        <v>0.09</v>
      </c>
    </row>
    <row r="185" ht="14.25" customHeight="1">
      <c r="A185" s="43" t="s">
        <v>114</v>
      </c>
      <c r="B185" s="44">
        <v>0.12</v>
      </c>
      <c r="C185" s="44">
        <v>0.14</v>
      </c>
      <c r="D185" s="44">
        <v>0.17</v>
      </c>
      <c r="E185" s="44">
        <v>0.16</v>
      </c>
      <c r="F185" s="44">
        <v>0.09</v>
      </c>
      <c r="G185" s="44">
        <v>0.02</v>
      </c>
      <c r="H185" s="44">
        <v>0.25</v>
      </c>
      <c r="I185" s="44">
        <v>0.16</v>
      </c>
    </row>
    <row r="186" ht="14.25" customHeight="1">
      <c r="A186" s="43" t="s">
        <v>115</v>
      </c>
      <c r="B186" s="44">
        <v>0.15</v>
      </c>
      <c r="C186" s="44">
        <v>0.08</v>
      </c>
      <c r="D186" s="44">
        <v>0.07</v>
      </c>
      <c r="E186" s="44">
        <v>0.06</v>
      </c>
      <c r="F186" s="44">
        <v>0.05</v>
      </c>
      <c r="G186" s="44">
        <v>-0.03</v>
      </c>
      <c r="H186" s="44">
        <v>0.19</v>
      </c>
      <c r="I186" s="44">
        <v>0.17</v>
      </c>
    </row>
    <row r="187" ht="14.25" customHeight="1">
      <c r="A187" s="41" t="s">
        <v>117</v>
      </c>
      <c r="B187" s="45">
        <v>0.19</v>
      </c>
      <c r="C187" s="45">
        <v>0.27</v>
      </c>
      <c r="D187" s="45">
        <v>0.17</v>
      </c>
      <c r="E187" s="45">
        <v>0.18</v>
      </c>
      <c r="F187" s="45">
        <v>0.24</v>
      </c>
      <c r="G187" s="45">
        <v>0.11</v>
      </c>
      <c r="H187" s="45">
        <v>0.19</v>
      </c>
      <c r="I187" s="45">
        <v>-0.13</v>
      </c>
    </row>
    <row r="188" ht="14.25" customHeight="1">
      <c r="A188" s="43" t="s">
        <v>113</v>
      </c>
      <c r="B188" s="44">
        <v>0.28</v>
      </c>
      <c r="C188" s="44">
        <v>0.33</v>
      </c>
      <c r="D188" s="44">
        <v>0.18</v>
      </c>
      <c r="E188" s="44">
        <v>0.16</v>
      </c>
      <c r="F188" s="44">
        <v>0.25</v>
      </c>
      <c r="G188" s="44">
        <v>0.12</v>
      </c>
      <c r="H188" s="44">
        <v>0.19</v>
      </c>
      <c r="I188" s="44">
        <v>-0.1</v>
      </c>
    </row>
    <row r="189" ht="14.25" customHeight="1">
      <c r="A189" s="43" t="s">
        <v>114</v>
      </c>
      <c r="B189" s="44">
        <v>0.07</v>
      </c>
      <c r="C189" s="44">
        <v>0.17</v>
      </c>
      <c r="D189" s="44">
        <v>0.18</v>
      </c>
      <c r="E189" s="44">
        <v>0.23</v>
      </c>
      <c r="F189" s="44">
        <v>0.23</v>
      </c>
      <c r="G189" s="44">
        <v>0.08</v>
      </c>
      <c r="H189" s="44">
        <v>0.19</v>
      </c>
      <c r="I189" s="44">
        <v>-0.21</v>
      </c>
    </row>
    <row r="190" ht="14.25" customHeight="1">
      <c r="A190" s="43" t="s">
        <v>115</v>
      </c>
      <c r="B190" s="44">
        <v>0.01</v>
      </c>
      <c r="C190" s="44">
        <v>0.07</v>
      </c>
      <c r="D190" s="44">
        <v>0.03</v>
      </c>
      <c r="E190" s="44">
        <v>-0.01</v>
      </c>
      <c r="F190" s="44">
        <v>0.08</v>
      </c>
      <c r="G190" s="44">
        <v>0.11</v>
      </c>
      <c r="H190" s="44">
        <v>0.26</v>
      </c>
      <c r="I190" s="44">
        <v>-0.06</v>
      </c>
    </row>
    <row r="191" ht="14.25" customHeight="1">
      <c r="A191" s="41" t="s">
        <v>118</v>
      </c>
      <c r="B191" s="45">
        <v>0.08</v>
      </c>
      <c r="C191" s="45">
        <v>0.15</v>
      </c>
      <c r="D191" s="45">
        <v>0.13</v>
      </c>
      <c r="E191" s="45">
        <v>0.1</v>
      </c>
      <c r="F191" s="45">
        <v>0.13</v>
      </c>
      <c r="G191" s="45">
        <v>0.01</v>
      </c>
      <c r="H191" s="45">
        <v>0.08</v>
      </c>
      <c r="I191" s="45">
        <v>0.16</v>
      </c>
    </row>
    <row r="192" ht="14.25" customHeight="1">
      <c r="A192" s="43" t="s">
        <v>113</v>
      </c>
      <c r="B192" s="44">
        <v>0.12</v>
      </c>
      <c r="C192" s="44">
        <v>0.19</v>
      </c>
      <c r="D192" s="44">
        <v>0.16</v>
      </c>
      <c r="E192" s="44">
        <v>0.09</v>
      </c>
      <c r="F192" s="44">
        <v>0.12</v>
      </c>
      <c r="G192" s="44">
        <v>0.0</v>
      </c>
      <c r="H192" s="44">
        <v>0.08</v>
      </c>
      <c r="I192" s="44">
        <v>0.17</v>
      </c>
    </row>
    <row r="193" ht="14.25" customHeight="1">
      <c r="A193" s="43" t="s">
        <v>114</v>
      </c>
      <c r="B193" s="44">
        <v>0.08</v>
      </c>
      <c r="C193" s="44">
        <v>0.1</v>
      </c>
      <c r="D193" s="44">
        <v>0.09</v>
      </c>
      <c r="E193" s="44">
        <v>0.15</v>
      </c>
      <c r="F193" s="44">
        <v>0.15</v>
      </c>
      <c r="G193" s="44">
        <v>0.03</v>
      </c>
      <c r="H193" s="44">
        <v>0.1</v>
      </c>
      <c r="I193" s="44">
        <v>0.12</v>
      </c>
    </row>
    <row r="194" ht="14.25" customHeight="1">
      <c r="A194" s="43" t="s">
        <v>115</v>
      </c>
      <c r="B194" s="44">
        <v>0.03</v>
      </c>
      <c r="C194" s="44">
        <v>0.09</v>
      </c>
      <c r="D194" s="44">
        <v>-0.01</v>
      </c>
      <c r="E194" s="44">
        <v>-0.08</v>
      </c>
      <c r="F194" s="44">
        <v>0.08</v>
      </c>
      <c r="G194" s="44">
        <v>-0.04</v>
      </c>
      <c r="H194" s="44">
        <v>-0.09</v>
      </c>
      <c r="I194" s="44">
        <v>0.28</v>
      </c>
    </row>
    <row r="195" ht="14.25" customHeight="1">
      <c r="A195" s="41" t="s">
        <v>119</v>
      </c>
      <c r="B195" s="42">
        <v>-0.02</v>
      </c>
      <c r="C195" s="42">
        <v>-0.37</v>
      </c>
      <c r="D195" s="42">
        <v>0.02</v>
      </c>
      <c r="E195" s="42">
        <v>0.12</v>
      </c>
      <c r="F195" s="42">
        <v>0.53</v>
      </c>
      <c r="G195" s="42">
        <v>-0.26</v>
      </c>
      <c r="H195" s="42">
        <v>-0.17</v>
      </c>
      <c r="I195" s="42">
        <v>3.02</v>
      </c>
    </row>
    <row r="196" ht="14.25" customHeight="1">
      <c r="A196" s="46" t="s">
        <v>120</v>
      </c>
      <c r="B196" s="47">
        <v>0.14</v>
      </c>
      <c r="C196" s="47">
        <v>0.13</v>
      </c>
      <c r="D196" s="47">
        <v>0.08</v>
      </c>
      <c r="E196" s="47">
        <v>0.05</v>
      </c>
      <c r="F196" s="47">
        <v>0.11</v>
      </c>
      <c r="G196" s="47">
        <v>-0.04</v>
      </c>
      <c r="H196" s="47">
        <v>0.17</v>
      </c>
      <c r="I196" s="45">
        <v>0.06</v>
      </c>
    </row>
    <row r="197" ht="14.25" customHeight="1">
      <c r="A197" s="41" t="s">
        <v>121</v>
      </c>
      <c r="B197" s="42">
        <v>0.21</v>
      </c>
      <c r="C197" s="42">
        <v>0.02</v>
      </c>
      <c r="D197" s="42">
        <v>0.06</v>
      </c>
      <c r="E197" s="42">
        <v>-0.11</v>
      </c>
      <c r="F197" s="42">
        <v>0.03</v>
      </c>
      <c r="G197" s="42">
        <v>-0.01</v>
      </c>
      <c r="H197" s="42">
        <v>0.16</v>
      </c>
      <c r="I197" s="42">
        <v>0.07</v>
      </c>
    </row>
    <row r="198" ht="14.25" customHeight="1">
      <c r="A198" s="43" t="s">
        <v>113</v>
      </c>
      <c r="B198" s="48" t="s">
        <v>122</v>
      </c>
      <c r="C198" s="48" t="s">
        <v>122</v>
      </c>
      <c r="D198" s="48" t="s">
        <v>122</v>
      </c>
      <c r="E198" s="48" t="s">
        <v>122</v>
      </c>
      <c r="F198" s="42">
        <v>0.05</v>
      </c>
      <c r="G198" s="42">
        <v>0.01</v>
      </c>
      <c r="H198" s="44">
        <v>0.17</v>
      </c>
      <c r="I198" s="44">
        <v>0.06</v>
      </c>
    </row>
    <row r="199" ht="14.25" customHeight="1">
      <c r="A199" s="43" t="s">
        <v>114</v>
      </c>
      <c r="B199" s="48" t="s">
        <v>122</v>
      </c>
      <c r="C199" s="48" t="s">
        <v>122</v>
      </c>
      <c r="D199" s="48" t="s">
        <v>122</v>
      </c>
      <c r="E199" s="48" t="s">
        <v>122</v>
      </c>
      <c r="F199" s="44">
        <v>-0.17</v>
      </c>
      <c r="G199" s="44">
        <v>-0.22</v>
      </c>
      <c r="H199" s="44">
        <v>0.13</v>
      </c>
      <c r="I199" s="44">
        <v>-0.03</v>
      </c>
    </row>
    <row r="200" ht="14.25" customHeight="1">
      <c r="A200" s="43" t="s">
        <v>115</v>
      </c>
      <c r="B200" s="48" t="s">
        <v>122</v>
      </c>
      <c r="C200" s="48" t="s">
        <v>122</v>
      </c>
      <c r="D200" s="48" t="s">
        <v>122</v>
      </c>
      <c r="E200" s="48" t="s">
        <v>122</v>
      </c>
      <c r="F200" s="44">
        <v>-0.13</v>
      </c>
      <c r="G200" s="44">
        <v>0.08</v>
      </c>
      <c r="H200" s="44">
        <v>0.14</v>
      </c>
      <c r="I200" s="44">
        <v>-0.16</v>
      </c>
    </row>
    <row r="201" ht="14.25" customHeight="1">
      <c r="A201" s="43" t="s">
        <v>123</v>
      </c>
      <c r="B201" s="48" t="s">
        <v>122</v>
      </c>
      <c r="C201" s="48" t="s">
        <v>122</v>
      </c>
      <c r="D201" s="48" t="s">
        <v>122</v>
      </c>
      <c r="E201" s="48" t="s">
        <v>122</v>
      </c>
      <c r="F201" s="44">
        <v>0.04</v>
      </c>
      <c r="G201" s="44">
        <v>-0.14</v>
      </c>
      <c r="H201" s="44">
        <v>-0.01</v>
      </c>
      <c r="I201" s="44">
        <v>0.42</v>
      </c>
    </row>
    <row r="202" ht="14.25" customHeight="1">
      <c r="A202" s="43" t="s">
        <v>124</v>
      </c>
      <c r="B202" s="44">
        <v>0.06</v>
      </c>
      <c r="C202" s="44">
        <v>0.07</v>
      </c>
      <c r="D202" s="48" t="s">
        <v>122</v>
      </c>
      <c r="E202" s="44">
        <v>-1.01</v>
      </c>
      <c r="F202" s="44">
        <v>0.24</v>
      </c>
      <c r="G202" s="44">
        <v>0.09</v>
      </c>
      <c r="H202" s="44">
        <v>0.15</v>
      </c>
      <c r="I202" s="44">
        <v>0.0</v>
      </c>
    </row>
    <row r="203" ht="14.25" customHeight="1">
      <c r="A203" s="49" t="s">
        <v>125</v>
      </c>
      <c r="B203" s="47">
        <v>0.14</v>
      </c>
      <c r="C203" s="47">
        <v>0.12</v>
      </c>
      <c r="D203" s="47">
        <v>0.08</v>
      </c>
      <c r="E203" s="47">
        <v>0.04</v>
      </c>
      <c r="F203" s="47">
        <v>0.11</v>
      </c>
      <c r="G203" s="47">
        <v>-0.04</v>
      </c>
      <c r="H203" s="47">
        <v>0.17</v>
      </c>
      <c r="I203" s="50">
        <v>0.06</v>
      </c>
    </row>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paperSize="9"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8.71"/>
    <col customWidth="1" min="2" max="14" width="11.71"/>
    <col customWidth="1" min="15" max="26" width="8.71"/>
  </cols>
  <sheetData>
    <row r="1" ht="60.0" customHeight="1">
      <c r="A1" s="6" t="s">
        <v>139</v>
      </c>
      <c r="B1" s="7">
        <f t="shared" ref="B1:H1" si="1">+C1-1</f>
        <v>2015</v>
      </c>
      <c r="C1" s="7">
        <f t="shared" si="1"/>
        <v>2016</v>
      </c>
      <c r="D1" s="7">
        <f t="shared" si="1"/>
        <v>2017</v>
      </c>
      <c r="E1" s="7">
        <f t="shared" si="1"/>
        <v>2018</v>
      </c>
      <c r="F1" s="7">
        <f t="shared" si="1"/>
        <v>2019</v>
      </c>
      <c r="G1" s="7">
        <f t="shared" si="1"/>
        <v>2020</v>
      </c>
      <c r="H1" s="7">
        <f t="shared" si="1"/>
        <v>2021</v>
      </c>
      <c r="I1" s="7">
        <v>2022.0</v>
      </c>
      <c r="J1" s="51">
        <f t="shared" ref="J1:N1" si="2">+I1+1</f>
        <v>2023</v>
      </c>
      <c r="K1" s="51">
        <f t="shared" si="2"/>
        <v>2024</v>
      </c>
      <c r="L1" s="51">
        <f t="shared" si="2"/>
        <v>2025</v>
      </c>
      <c r="M1" s="51">
        <f t="shared" si="2"/>
        <v>2026</v>
      </c>
      <c r="N1" s="51">
        <f t="shared" si="2"/>
        <v>2027</v>
      </c>
    </row>
    <row r="2" ht="14.25" customHeight="1">
      <c r="A2" s="52" t="s">
        <v>140</v>
      </c>
      <c r="B2" s="52"/>
      <c r="C2" s="52"/>
      <c r="D2" s="52"/>
      <c r="E2" s="52"/>
      <c r="F2" s="52"/>
      <c r="G2" s="52"/>
      <c r="H2" s="52"/>
      <c r="I2" s="52"/>
      <c r="J2" s="51"/>
      <c r="K2" s="51"/>
      <c r="L2" s="51"/>
      <c r="M2" s="51"/>
      <c r="N2" s="51"/>
    </row>
    <row r="3" ht="14.25" customHeight="1">
      <c r="A3" s="53" t="s">
        <v>141</v>
      </c>
      <c r="B3" s="12">
        <f t="shared" ref="B3:N3" si="3">B21+B52+B83+B114+B145+B166+B201</f>
        <v>13740</v>
      </c>
      <c r="C3" s="12">
        <f t="shared" si="3"/>
        <v>14764</v>
      </c>
      <c r="D3" s="12">
        <f t="shared" si="3"/>
        <v>15216</v>
      </c>
      <c r="E3" s="12">
        <f t="shared" si="3"/>
        <v>14855</v>
      </c>
      <c r="F3" s="12">
        <f t="shared" si="3"/>
        <v>15902</v>
      </c>
      <c r="G3" s="12">
        <f t="shared" si="3"/>
        <v>14484</v>
      </c>
      <c r="H3" s="12">
        <f t="shared" si="3"/>
        <v>17179</v>
      </c>
      <c r="I3" s="12">
        <f t="shared" si="3"/>
        <v>18353</v>
      </c>
      <c r="J3" s="12">
        <f t="shared" si="3"/>
        <v>18353</v>
      </c>
      <c r="K3" s="12">
        <f t="shared" si="3"/>
        <v>18353</v>
      </c>
      <c r="L3" s="12">
        <f t="shared" si="3"/>
        <v>18353</v>
      </c>
      <c r="M3" s="12">
        <f t="shared" si="3"/>
        <v>18353</v>
      </c>
      <c r="N3" s="12">
        <f t="shared" si="3"/>
        <v>18353</v>
      </c>
      <c r="O3" s="8" t="s">
        <v>142</v>
      </c>
    </row>
    <row r="4" ht="14.25" customHeight="1">
      <c r="A4" s="54" t="s">
        <v>143</v>
      </c>
      <c r="B4" s="44" t="str">
        <f t="shared" ref="B4:N4" si="4">+IFERROR(B3/A3-1,"nm")</f>
        <v>nm</v>
      </c>
      <c r="C4" s="44">
        <f t="shared" si="4"/>
        <v>0.07452692868</v>
      </c>
      <c r="D4" s="44">
        <f t="shared" si="4"/>
        <v>0.03061500948</v>
      </c>
      <c r="E4" s="44">
        <f t="shared" si="4"/>
        <v>-0.02372502629</v>
      </c>
      <c r="F4" s="44">
        <f t="shared" si="4"/>
        <v>0.07048131942</v>
      </c>
      <c r="G4" s="44">
        <f t="shared" si="4"/>
        <v>-0.08917117344</v>
      </c>
      <c r="H4" s="44">
        <f t="shared" si="4"/>
        <v>0.1860673847</v>
      </c>
      <c r="I4" s="44">
        <f t="shared" si="4"/>
        <v>0.06833925141</v>
      </c>
      <c r="J4" s="44">
        <f t="shared" si="4"/>
        <v>0</v>
      </c>
      <c r="K4" s="44">
        <f t="shared" si="4"/>
        <v>0</v>
      </c>
      <c r="L4" s="44">
        <f t="shared" si="4"/>
        <v>0</v>
      </c>
      <c r="M4" s="44">
        <f t="shared" si="4"/>
        <v>0</v>
      </c>
      <c r="N4" s="44">
        <f t="shared" si="4"/>
        <v>0</v>
      </c>
    </row>
    <row r="5" ht="14.25" customHeight="1">
      <c r="A5" s="53" t="s">
        <v>144</v>
      </c>
      <c r="B5" s="12">
        <f t="shared" ref="B5:N5" si="5">B35+B66+B97+B128+B149+B184+B205</f>
        <v>3766</v>
      </c>
      <c r="C5" s="12">
        <f t="shared" si="5"/>
        <v>3896</v>
      </c>
      <c r="D5" s="12">
        <f t="shared" si="5"/>
        <v>4015</v>
      </c>
      <c r="E5" s="12">
        <f t="shared" si="5"/>
        <v>3760</v>
      </c>
      <c r="F5" s="12">
        <f t="shared" si="5"/>
        <v>4074</v>
      </c>
      <c r="G5" s="12">
        <f t="shared" si="5"/>
        <v>3047</v>
      </c>
      <c r="H5" s="12">
        <f t="shared" si="5"/>
        <v>5219</v>
      </c>
      <c r="I5" s="12">
        <f t="shared" si="5"/>
        <v>5238</v>
      </c>
      <c r="J5" s="55">
        <f t="shared" si="5"/>
        <v>5238</v>
      </c>
      <c r="K5" s="55">
        <f t="shared" si="5"/>
        <v>5238</v>
      </c>
      <c r="L5" s="55">
        <f t="shared" si="5"/>
        <v>5238</v>
      </c>
      <c r="M5" s="55">
        <f t="shared" si="5"/>
        <v>5238</v>
      </c>
      <c r="N5" s="55">
        <f t="shared" si="5"/>
        <v>5238</v>
      </c>
      <c r="O5" s="8" t="s">
        <v>145</v>
      </c>
    </row>
    <row r="6" ht="14.25" customHeight="1">
      <c r="A6" s="54" t="s">
        <v>143</v>
      </c>
      <c r="B6" s="44" t="str">
        <f t="shared" ref="B6:N6" si="6">+IFERROR(B5/A5-1,"nm")</f>
        <v>nm</v>
      </c>
      <c r="C6" s="44">
        <f t="shared" si="6"/>
        <v>0.03451938396</v>
      </c>
      <c r="D6" s="44">
        <f t="shared" si="6"/>
        <v>0.03054414784</v>
      </c>
      <c r="E6" s="44">
        <f t="shared" si="6"/>
        <v>-0.06351183064</v>
      </c>
      <c r="F6" s="44">
        <f t="shared" si="6"/>
        <v>0.0835106383</v>
      </c>
      <c r="G6" s="44">
        <f t="shared" si="6"/>
        <v>-0.2520864016</v>
      </c>
      <c r="H6" s="44">
        <f t="shared" si="6"/>
        <v>0.7128322941</v>
      </c>
      <c r="I6" s="44">
        <f t="shared" si="6"/>
        <v>0.003640544166</v>
      </c>
      <c r="J6" s="44">
        <f t="shared" si="6"/>
        <v>0</v>
      </c>
      <c r="K6" s="44">
        <f t="shared" si="6"/>
        <v>0</v>
      </c>
      <c r="L6" s="44">
        <f t="shared" si="6"/>
        <v>0</v>
      </c>
      <c r="M6" s="44">
        <f t="shared" si="6"/>
        <v>0</v>
      </c>
      <c r="N6" s="44">
        <f t="shared" si="6"/>
        <v>0</v>
      </c>
    </row>
    <row r="7" ht="14.25" customHeight="1">
      <c r="A7" s="54" t="s">
        <v>146</v>
      </c>
      <c r="B7" s="44">
        <f t="shared" ref="B7:N7" si="7">+IFERROR(B5/B$3,"nm")</f>
        <v>0.2740902475</v>
      </c>
      <c r="C7" s="44">
        <f t="shared" si="7"/>
        <v>0.263885126</v>
      </c>
      <c r="D7" s="44">
        <f t="shared" si="7"/>
        <v>0.2638669821</v>
      </c>
      <c r="E7" s="44">
        <f t="shared" si="7"/>
        <v>0.2531134298</v>
      </c>
      <c r="F7" s="44">
        <f t="shared" si="7"/>
        <v>0.2561941894</v>
      </c>
      <c r="G7" s="44">
        <f t="shared" si="7"/>
        <v>0.2103700635</v>
      </c>
      <c r="H7" s="44">
        <f t="shared" si="7"/>
        <v>0.3038011526</v>
      </c>
      <c r="I7" s="44">
        <f t="shared" si="7"/>
        <v>0.2854029314</v>
      </c>
      <c r="J7" s="44">
        <f t="shared" si="7"/>
        <v>0.2854029314</v>
      </c>
      <c r="K7" s="44">
        <f t="shared" si="7"/>
        <v>0.2854029314</v>
      </c>
      <c r="L7" s="44">
        <f t="shared" si="7"/>
        <v>0.2854029314</v>
      </c>
      <c r="M7" s="44">
        <f t="shared" si="7"/>
        <v>0.2854029314</v>
      </c>
      <c r="N7" s="44">
        <f t="shared" si="7"/>
        <v>0.2854029314</v>
      </c>
    </row>
    <row r="8" ht="14.25" customHeight="1">
      <c r="A8" s="53" t="s">
        <v>147</v>
      </c>
      <c r="B8" s="12">
        <f t="shared" ref="B8:N8" si="8">B38+B69+B100+B131+B152+B187+B208</f>
        <v>121</v>
      </c>
      <c r="C8" s="12">
        <f t="shared" si="8"/>
        <v>133</v>
      </c>
      <c r="D8" s="12">
        <f t="shared" si="8"/>
        <v>140</v>
      </c>
      <c r="E8" s="12">
        <f t="shared" si="8"/>
        <v>160</v>
      </c>
      <c r="F8" s="12">
        <f t="shared" si="8"/>
        <v>149</v>
      </c>
      <c r="G8" s="12">
        <f t="shared" si="8"/>
        <v>148</v>
      </c>
      <c r="H8" s="12">
        <f t="shared" si="8"/>
        <v>130</v>
      </c>
      <c r="I8" s="12">
        <f t="shared" si="8"/>
        <v>124</v>
      </c>
      <c r="J8" s="55">
        <f t="shared" si="8"/>
        <v>124</v>
      </c>
      <c r="K8" s="55">
        <f t="shared" si="8"/>
        <v>124</v>
      </c>
      <c r="L8" s="55">
        <f t="shared" si="8"/>
        <v>124</v>
      </c>
      <c r="M8" s="55">
        <f t="shared" si="8"/>
        <v>124</v>
      </c>
      <c r="N8" s="55">
        <f t="shared" si="8"/>
        <v>124</v>
      </c>
      <c r="O8" s="8" t="s">
        <v>148</v>
      </c>
    </row>
    <row r="9" ht="14.25" customHeight="1">
      <c r="A9" s="54" t="s">
        <v>143</v>
      </c>
      <c r="B9" s="44" t="str">
        <f t="shared" ref="B9:N9" si="9">+IFERROR(B8/A8-1,"nm")</f>
        <v>nm</v>
      </c>
      <c r="C9" s="44">
        <f t="shared" si="9"/>
        <v>0.09917355372</v>
      </c>
      <c r="D9" s="44">
        <f t="shared" si="9"/>
        <v>0.05263157895</v>
      </c>
      <c r="E9" s="44">
        <f t="shared" si="9"/>
        <v>0.1428571429</v>
      </c>
      <c r="F9" s="44">
        <f t="shared" si="9"/>
        <v>-0.06875</v>
      </c>
      <c r="G9" s="44">
        <f t="shared" si="9"/>
        <v>-0.006711409396</v>
      </c>
      <c r="H9" s="44">
        <f t="shared" si="9"/>
        <v>-0.1216216216</v>
      </c>
      <c r="I9" s="44">
        <f t="shared" si="9"/>
        <v>-0.04615384615</v>
      </c>
      <c r="J9" s="44">
        <f t="shared" si="9"/>
        <v>0</v>
      </c>
      <c r="K9" s="44">
        <f t="shared" si="9"/>
        <v>0</v>
      </c>
      <c r="L9" s="44">
        <f t="shared" si="9"/>
        <v>0</v>
      </c>
      <c r="M9" s="44">
        <f t="shared" si="9"/>
        <v>0</v>
      </c>
      <c r="N9" s="44">
        <f t="shared" si="9"/>
        <v>0</v>
      </c>
    </row>
    <row r="10" ht="14.25" customHeight="1">
      <c r="A10" s="54" t="s">
        <v>149</v>
      </c>
      <c r="B10" s="44">
        <f t="shared" ref="B10:N10" si="10">+IFERROR(B8/B$3,"nm")</f>
        <v>0.008806404658</v>
      </c>
      <c r="C10" s="44">
        <f t="shared" si="10"/>
        <v>0.009008398808</v>
      </c>
      <c r="D10" s="44">
        <f t="shared" si="10"/>
        <v>0.00920084122</v>
      </c>
      <c r="E10" s="44">
        <f t="shared" si="10"/>
        <v>0.01077078425</v>
      </c>
      <c r="F10" s="44">
        <f t="shared" si="10"/>
        <v>0.00936989058</v>
      </c>
      <c r="G10" s="44">
        <f t="shared" si="10"/>
        <v>0.01021817178</v>
      </c>
      <c r="H10" s="44">
        <f t="shared" si="10"/>
        <v>0.007567378776</v>
      </c>
      <c r="I10" s="44">
        <f t="shared" si="10"/>
        <v>0.006756388601</v>
      </c>
      <c r="J10" s="44">
        <f t="shared" si="10"/>
        <v>0.006756388601</v>
      </c>
      <c r="K10" s="44">
        <f t="shared" si="10"/>
        <v>0.006756388601</v>
      </c>
      <c r="L10" s="44">
        <f t="shared" si="10"/>
        <v>0.006756388601</v>
      </c>
      <c r="M10" s="44">
        <f t="shared" si="10"/>
        <v>0.006756388601</v>
      </c>
      <c r="N10" s="44">
        <f t="shared" si="10"/>
        <v>0.006756388601</v>
      </c>
    </row>
    <row r="11" ht="14.25" customHeight="1">
      <c r="A11" s="53" t="s">
        <v>150</v>
      </c>
      <c r="B11" s="12">
        <f t="shared" ref="B11:N11" si="11">B42+B73+B104+B135+B156+B191+B212</f>
        <v>3645</v>
      </c>
      <c r="C11" s="12">
        <f t="shared" si="11"/>
        <v>3763</v>
      </c>
      <c r="D11" s="12">
        <f t="shared" si="11"/>
        <v>3875</v>
      </c>
      <c r="E11" s="12">
        <f t="shared" si="11"/>
        <v>3600</v>
      </c>
      <c r="F11" s="12">
        <f t="shared" si="11"/>
        <v>3925</v>
      </c>
      <c r="G11" s="12">
        <f t="shared" si="11"/>
        <v>2899</v>
      </c>
      <c r="H11" s="12">
        <f t="shared" si="11"/>
        <v>5089</v>
      </c>
      <c r="I11" s="12">
        <f t="shared" si="11"/>
        <v>5114</v>
      </c>
      <c r="J11" s="55">
        <f t="shared" si="11"/>
        <v>5114</v>
      </c>
      <c r="K11" s="55">
        <f t="shared" si="11"/>
        <v>5114</v>
      </c>
      <c r="L11" s="55">
        <f t="shared" si="11"/>
        <v>5114</v>
      </c>
      <c r="M11" s="55">
        <f t="shared" si="11"/>
        <v>5114</v>
      </c>
      <c r="N11" s="55">
        <f t="shared" si="11"/>
        <v>5114</v>
      </c>
      <c r="O11" s="8" t="s">
        <v>151</v>
      </c>
    </row>
    <row r="12" ht="14.25" customHeight="1">
      <c r="A12" s="54" t="s">
        <v>143</v>
      </c>
      <c r="B12" s="44" t="str">
        <f t="shared" ref="B12:N12" si="12">+IFERROR(B11/A11-1,"nm")</f>
        <v>nm</v>
      </c>
      <c r="C12" s="44">
        <f t="shared" si="12"/>
        <v>0.03237311385</v>
      </c>
      <c r="D12" s="44">
        <f t="shared" si="12"/>
        <v>0.02976348658</v>
      </c>
      <c r="E12" s="44">
        <f t="shared" si="12"/>
        <v>-0.07096774194</v>
      </c>
      <c r="F12" s="44">
        <f t="shared" si="12"/>
        <v>0.09027777778</v>
      </c>
      <c r="G12" s="44">
        <f t="shared" si="12"/>
        <v>-0.2614012739</v>
      </c>
      <c r="H12" s="44">
        <f t="shared" si="12"/>
        <v>0.7554329079</v>
      </c>
      <c r="I12" s="44">
        <f t="shared" si="12"/>
        <v>0.004912556494</v>
      </c>
      <c r="J12" s="44">
        <f t="shared" si="12"/>
        <v>0</v>
      </c>
      <c r="K12" s="44">
        <f t="shared" si="12"/>
        <v>0</v>
      </c>
      <c r="L12" s="44">
        <f t="shared" si="12"/>
        <v>0</v>
      </c>
      <c r="M12" s="44">
        <f t="shared" si="12"/>
        <v>0</v>
      </c>
      <c r="N12" s="44">
        <f t="shared" si="12"/>
        <v>0</v>
      </c>
    </row>
    <row r="13" ht="14.25" customHeight="1">
      <c r="A13" s="54" t="s">
        <v>146</v>
      </c>
      <c r="B13" s="44">
        <f t="shared" ref="B13:N13" si="13">+IFERROR(B11/B$3,"nm")</f>
        <v>0.2652838428</v>
      </c>
      <c r="C13" s="44">
        <f t="shared" si="13"/>
        <v>0.2548767272</v>
      </c>
      <c r="D13" s="44">
        <f t="shared" si="13"/>
        <v>0.2546661409</v>
      </c>
      <c r="E13" s="44">
        <f t="shared" si="13"/>
        <v>0.2423426456</v>
      </c>
      <c r="F13" s="44">
        <f t="shared" si="13"/>
        <v>0.2468242988</v>
      </c>
      <c r="G13" s="44">
        <f t="shared" si="13"/>
        <v>0.2001518917</v>
      </c>
      <c r="H13" s="44">
        <f t="shared" si="13"/>
        <v>0.2962337738</v>
      </c>
      <c r="I13" s="44">
        <f t="shared" si="13"/>
        <v>0.2786465428</v>
      </c>
      <c r="J13" s="44">
        <f t="shared" si="13"/>
        <v>0.2786465428</v>
      </c>
      <c r="K13" s="44">
        <f t="shared" si="13"/>
        <v>0.2786465428</v>
      </c>
      <c r="L13" s="44">
        <f t="shared" si="13"/>
        <v>0.2786465428</v>
      </c>
      <c r="M13" s="44">
        <f t="shared" si="13"/>
        <v>0.2786465428</v>
      </c>
      <c r="N13" s="44">
        <f t="shared" si="13"/>
        <v>0.2786465428</v>
      </c>
    </row>
    <row r="14" ht="14.25" customHeight="1">
      <c r="A14" s="53" t="s">
        <v>152</v>
      </c>
      <c r="B14" s="12">
        <f t="shared" ref="B14:I14" si="14">B45+B76+B107+B138+B159+B194+B215+B224</f>
        <v>208</v>
      </c>
      <c r="C14" s="12">
        <f t="shared" si="14"/>
        <v>242</v>
      </c>
      <c r="D14" s="12">
        <f t="shared" si="14"/>
        <v>223</v>
      </c>
      <c r="E14" s="12">
        <f t="shared" si="14"/>
        <v>196</v>
      </c>
      <c r="F14" s="12">
        <f t="shared" si="14"/>
        <v>117</v>
      </c>
      <c r="G14" s="12">
        <f t="shared" si="14"/>
        <v>110</v>
      </c>
      <c r="H14" s="12">
        <f t="shared" si="14"/>
        <v>98</v>
      </c>
      <c r="I14" s="12">
        <f t="shared" si="14"/>
        <v>146</v>
      </c>
      <c r="J14" s="55">
        <f t="shared" ref="J14:N14" si="15">J45+J76+J107+J138+J159+J194+J215</f>
        <v>146</v>
      </c>
      <c r="K14" s="55">
        <f t="shared" si="15"/>
        <v>146</v>
      </c>
      <c r="L14" s="55">
        <f t="shared" si="15"/>
        <v>146</v>
      </c>
      <c r="M14" s="55">
        <f t="shared" si="15"/>
        <v>146</v>
      </c>
      <c r="N14" s="55">
        <f t="shared" si="15"/>
        <v>146</v>
      </c>
      <c r="O14" s="8" t="s">
        <v>153</v>
      </c>
    </row>
    <row r="15" ht="14.25" customHeight="1">
      <c r="A15" s="54" t="s">
        <v>143</v>
      </c>
      <c r="B15" s="44" t="str">
        <f t="shared" ref="B15:N15" si="16">+IFERROR(B14/A14-1,"nm")</f>
        <v>nm</v>
      </c>
      <c r="C15" s="44">
        <f t="shared" si="16"/>
        <v>0.1634615385</v>
      </c>
      <c r="D15" s="44">
        <f t="shared" si="16"/>
        <v>-0.07851239669</v>
      </c>
      <c r="E15" s="44">
        <f t="shared" si="16"/>
        <v>-0.1210762332</v>
      </c>
      <c r="F15" s="44">
        <f t="shared" si="16"/>
        <v>-0.4030612245</v>
      </c>
      <c r="G15" s="44">
        <f t="shared" si="16"/>
        <v>-0.05982905983</v>
      </c>
      <c r="H15" s="44">
        <f t="shared" si="16"/>
        <v>-0.1090909091</v>
      </c>
      <c r="I15" s="44">
        <f t="shared" si="16"/>
        <v>0.4897959184</v>
      </c>
      <c r="J15" s="44">
        <f t="shared" si="16"/>
        <v>0</v>
      </c>
      <c r="K15" s="44">
        <f t="shared" si="16"/>
        <v>0</v>
      </c>
      <c r="L15" s="44">
        <f t="shared" si="16"/>
        <v>0</v>
      </c>
      <c r="M15" s="44">
        <f t="shared" si="16"/>
        <v>0</v>
      </c>
      <c r="N15" s="44">
        <f t="shared" si="16"/>
        <v>0</v>
      </c>
    </row>
    <row r="16" ht="14.25" customHeight="1">
      <c r="A16" s="54" t="s">
        <v>149</v>
      </c>
      <c r="B16" s="44">
        <f t="shared" ref="B16:N16" si="17">+IFERROR(B14/B$3,"nm")</f>
        <v>0.01513828239</v>
      </c>
      <c r="C16" s="44">
        <f t="shared" si="17"/>
        <v>0.01639122189</v>
      </c>
      <c r="D16" s="44">
        <f t="shared" si="17"/>
        <v>0.01465562566</v>
      </c>
      <c r="E16" s="44">
        <f t="shared" si="17"/>
        <v>0.0131942107</v>
      </c>
      <c r="F16" s="44">
        <f t="shared" si="17"/>
        <v>0.007357565086</v>
      </c>
      <c r="G16" s="44">
        <f t="shared" si="17"/>
        <v>0.007594587131</v>
      </c>
      <c r="H16" s="44">
        <f t="shared" si="17"/>
        <v>0.005704639385</v>
      </c>
      <c r="I16" s="44">
        <f t="shared" si="17"/>
        <v>0.007955102708</v>
      </c>
      <c r="J16" s="44">
        <f t="shared" si="17"/>
        <v>0.007955102708</v>
      </c>
      <c r="K16" s="44">
        <f t="shared" si="17"/>
        <v>0.007955102708</v>
      </c>
      <c r="L16" s="44">
        <f t="shared" si="17"/>
        <v>0.007955102708</v>
      </c>
      <c r="M16" s="44">
        <f t="shared" si="17"/>
        <v>0.007955102708</v>
      </c>
      <c r="N16" s="44">
        <f t="shared" si="17"/>
        <v>0.007955102708</v>
      </c>
    </row>
    <row r="17" ht="14.25" customHeight="1">
      <c r="A17" s="53" t="s">
        <v>154</v>
      </c>
      <c r="B17" s="12">
        <f t="shared" ref="B17:N17" si="18">B48+B79+B110+B141+B162+B197+B218</f>
        <v>632</v>
      </c>
      <c r="C17" s="12">
        <f t="shared" si="18"/>
        <v>742</v>
      </c>
      <c r="D17" s="12">
        <f t="shared" si="18"/>
        <v>819</v>
      </c>
      <c r="E17" s="12">
        <f t="shared" si="18"/>
        <v>848</v>
      </c>
      <c r="F17" s="12">
        <f t="shared" si="18"/>
        <v>814</v>
      </c>
      <c r="G17" s="12">
        <f t="shared" si="18"/>
        <v>645</v>
      </c>
      <c r="H17" s="12">
        <f t="shared" si="18"/>
        <v>617</v>
      </c>
      <c r="I17" s="12">
        <f t="shared" si="18"/>
        <v>639</v>
      </c>
      <c r="J17" s="55">
        <f t="shared" si="18"/>
        <v>639</v>
      </c>
      <c r="K17" s="55">
        <f t="shared" si="18"/>
        <v>639</v>
      </c>
      <c r="L17" s="55">
        <f t="shared" si="18"/>
        <v>639</v>
      </c>
      <c r="M17" s="55">
        <f t="shared" si="18"/>
        <v>639</v>
      </c>
      <c r="N17" s="55">
        <f t="shared" si="18"/>
        <v>639</v>
      </c>
      <c r="O17" s="8" t="s">
        <v>155</v>
      </c>
    </row>
    <row r="18" ht="14.25" customHeight="1">
      <c r="A18" s="54" t="s">
        <v>143</v>
      </c>
      <c r="B18" s="44" t="str">
        <f t="shared" ref="B18:N18" si="19">+IFERROR(B17/A17-1,"nm")</f>
        <v>nm</v>
      </c>
      <c r="C18" s="44">
        <f t="shared" si="19"/>
        <v>0.1740506329</v>
      </c>
      <c r="D18" s="44">
        <f t="shared" si="19"/>
        <v>0.1037735849</v>
      </c>
      <c r="E18" s="44">
        <f t="shared" si="19"/>
        <v>0.03540903541</v>
      </c>
      <c r="F18" s="44">
        <f t="shared" si="19"/>
        <v>-0.04009433962</v>
      </c>
      <c r="G18" s="44">
        <f t="shared" si="19"/>
        <v>-0.2076167076</v>
      </c>
      <c r="H18" s="44">
        <f t="shared" si="19"/>
        <v>-0.04341085271</v>
      </c>
      <c r="I18" s="44">
        <f t="shared" si="19"/>
        <v>0.03565640194</v>
      </c>
      <c r="J18" s="44">
        <f t="shared" si="19"/>
        <v>0</v>
      </c>
      <c r="K18" s="44">
        <f t="shared" si="19"/>
        <v>0</v>
      </c>
      <c r="L18" s="44">
        <f t="shared" si="19"/>
        <v>0</v>
      </c>
      <c r="M18" s="44">
        <f t="shared" si="19"/>
        <v>0</v>
      </c>
      <c r="N18" s="44">
        <f t="shared" si="19"/>
        <v>0</v>
      </c>
    </row>
    <row r="19" ht="14.25" customHeight="1">
      <c r="A19" s="54" t="s">
        <v>149</v>
      </c>
      <c r="B19" s="44">
        <f t="shared" ref="B19:N19" si="20">+IFERROR(B17/B$3,"nm")</f>
        <v>0.04599708879</v>
      </c>
      <c r="C19" s="44">
        <f t="shared" si="20"/>
        <v>0.05025738282</v>
      </c>
      <c r="D19" s="44">
        <f t="shared" si="20"/>
        <v>0.05382492114</v>
      </c>
      <c r="E19" s="44">
        <f t="shared" si="20"/>
        <v>0.05708515651</v>
      </c>
      <c r="F19" s="44">
        <f t="shared" si="20"/>
        <v>0.05118852974</v>
      </c>
      <c r="G19" s="44">
        <f t="shared" si="20"/>
        <v>0.04453189727</v>
      </c>
      <c r="H19" s="44">
        <f t="shared" si="20"/>
        <v>0.03591594388</v>
      </c>
      <c r="I19" s="44">
        <f t="shared" si="20"/>
        <v>0.0348171961</v>
      </c>
      <c r="J19" s="44">
        <f t="shared" si="20"/>
        <v>0.0348171961</v>
      </c>
      <c r="K19" s="44">
        <f t="shared" si="20"/>
        <v>0.0348171961</v>
      </c>
      <c r="L19" s="44">
        <f t="shared" si="20"/>
        <v>0.0348171961</v>
      </c>
      <c r="M19" s="44">
        <f t="shared" si="20"/>
        <v>0.0348171961</v>
      </c>
      <c r="N19" s="44">
        <f t="shared" si="20"/>
        <v>0.0348171961</v>
      </c>
    </row>
    <row r="20" ht="14.25" customHeight="1">
      <c r="A20" s="56" t="str">
        <f>+Historicals!A107</f>
        <v>North America</v>
      </c>
      <c r="B20" s="56"/>
      <c r="C20" s="56"/>
      <c r="D20" s="56"/>
      <c r="E20" s="56"/>
      <c r="F20" s="56"/>
      <c r="G20" s="56"/>
      <c r="H20" s="56"/>
      <c r="I20" s="56"/>
      <c r="J20" s="51"/>
      <c r="K20" s="51"/>
      <c r="L20" s="51"/>
      <c r="M20" s="51"/>
      <c r="N20" s="51"/>
    </row>
    <row r="21" ht="14.25" customHeight="1">
      <c r="A21" s="53" t="s">
        <v>156</v>
      </c>
      <c r="B21" s="53">
        <f>+Historicals!B107</f>
        <v>13740</v>
      </c>
      <c r="C21" s="53">
        <f>+Historicals!C107</f>
        <v>14764</v>
      </c>
      <c r="D21" s="53">
        <f>+Historicals!D107</f>
        <v>15216</v>
      </c>
      <c r="E21" s="53">
        <f>+Historicals!E107</f>
        <v>14855</v>
      </c>
      <c r="F21" s="53">
        <f>+Historicals!F107</f>
        <v>15902</v>
      </c>
      <c r="G21" s="53">
        <f>+Historicals!G107</f>
        <v>14484</v>
      </c>
      <c r="H21" s="53">
        <f>+Historicals!H107</f>
        <v>17179</v>
      </c>
      <c r="I21" s="53">
        <f>+Historicals!I107</f>
        <v>18353</v>
      </c>
      <c r="J21" s="53">
        <f t="shared" ref="J21:N21" si="21">+SUM(J23+J27+J31)</f>
        <v>18353</v>
      </c>
      <c r="K21" s="53">
        <f t="shared" si="21"/>
        <v>18353</v>
      </c>
      <c r="L21" s="53">
        <f t="shared" si="21"/>
        <v>18353</v>
      </c>
      <c r="M21" s="53">
        <f t="shared" si="21"/>
        <v>18353</v>
      </c>
      <c r="N21" s="53">
        <f t="shared" si="21"/>
        <v>18353</v>
      </c>
    </row>
    <row r="22" ht="14.25" customHeight="1">
      <c r="A22" s="54" t="s">
        <v>143</v>
      </c>
      <c r="B22" s="57" t="str">
        <f t="shared" ref="B22:N22" si="22">+IFERROR(B21/A21-1,"nm")</f>
        <v>nm</v>
      </c>
      <c r="C22" s="57">
        <f t="shared" si="22"/>
        <v>0.07452692868</v>
      </c>
      <c r="D22" s="57">
        <f t="shared" si="22"/>
        <v>0.03061500948</v>
      </c>
      <c r="E22" s="57">
        <f t="shared" si="22"/>
        <v>-0.02372502629</v>
      </c>
      <c r="F22" s="57">
        <f t="shared" si="22"/>
        <v>0.07048131942</v>
      </c>
      <c r="G22" s="57">
        <f t="shared" si="22"/>
        <v>-0.08917117344</v>
      </c>
      <c r="H22" s="57">
        <f t="shared" si="22"/>
        <v>0.1860673847</v>
      </c>
      <c r="I22" s="57">
        <f t="shared" si="22"/>
        <v>0.06833925141</v>
      </c>
      <c r="J22" s="57">
        <f t="shared" si="22"/>
        <v>0</v>
      </c>
      <c r="K22" s="57">
        <f t="shared" si="22"/>
        <v>0</v>
      </c>
      <c r="L22" s="57">
        <f t="shared" si="22"/>
        <v>0</v>
      </c>
      <c r="M22" s="57">
        <f t="shared" si="22"/>
        <v>0</v>
      </c>
      <c r="N22" s="57">
        <f t="shared" si="22"/>
        <v>0</v>
      </c>
    </row>
    <row r="23" ht="14.25" customHeight="1">
      <c r="A23" s="58" t="s">
        <v>113</v>
      </c>
      <c r="B23" s="27">
        <f>+Historicals!B108</f>
        <v>8506</v>
      </c>
      <c r="C23" s="27">
        <f>+Historicals!C108</f>
        <v>9299</v>
      </c>
      <c r="D23" s="27">
        <f>+Historicals!D108</f>
        <v>9684</v>
      </c>
      <c r="E23" s="27">
        <f>+Historicals!E108</f>
        <v>9322</v>
      </c>
      <c r="F23" s="27">
        <f>+Historicals!F108</f>
        <v>10045</v>
      </c>
      <c r="G23" s="27">
        <f>+Historicals!G108</f>
        <v>9329</v>
      </c>
      <c r="H23" s="27">
        <f>+Historicals!H108</f>
        <v>11644</v>
      </c>
      <c r="I23" s="27">
        <f>+Historicals!I108</f>
        <v>12228</v>
      </c>
      <c r="J23" s="27">
        <f t="shared" ref="J23:N23" si="23">+I23*(1+J24)</f>
        <v>12228</v>
      </c>
      <c r="K23" s="27">
        <f t="shared" si="23"/>
        <v>12228</v>
      </c>
      <c r="L23" s="27">
        <f t="shared" si="23"/>
        <v>12228</v>
      </c>
      <c r="M23" s="27">
        <f t="shared" si="23"/>
        <v>12228</v>
      </c>
      <c r="N23" s="27">
        <f t="shared" si="23"/>
        <v>12228</v>
      </c>
    </row>
    <row r="24" ht="14.25" customHeight="1">
      <c r="A24" s="54" t="s">
        <v>143</v>
      </c>
      <c r="B24" s="57" t="str">
        <f t="shared" ref="B24:I24" si="24">+IFERROR(B23/A23-1,"nm")</f>
        <v>nm</v>
      </c>
      <c r="C24" s="57">
        <f t="shared" si="24"/>
        <v>0.09322830943</v>
      </c>
      <c r="D24" s="57">
        <f t="shared" si="24"/>
        <v>0.04140230132</v>
      </c>
      <c r="E24" s="57">
        <f t="shared" si="24"/>
        <v>-0.03738124742</v>
      </c>
      <c r="F24" s="57">
        <f t="shared" si="24"/>
        <v>0.07755846385</v>
      </c>
      <c r="G24" s="57">
        <f t="shared" si="24"/>
        <v>-0.0712792434</v>
      </c>
      <c r="H24" s="57">
        <f t="shared" si="24"/>
        <v>0.2481509272</v>
      </c>
      <c r="I24" s="57">
        <f t="shared" si="24"/>
        <v>0.05015458605</v>
      </c>
      <c r="J24" s="57">
        <f t="shared" ref="J24:N24" si="25">+J25+J26</f>
        <v>0</v>
      </c>
      <c r="K24" s="57">
        <f t="shared" si="25"/>
        <v>0</v>
      </c>
      <c r="L24" s="57">
        <f t="shared" si="25"/>
        <v>0</v>
      </c>
      <c r="M24" s="57">
        <f t="shared" si="25"/>
        <v>0</v>
      </c>
      <c r="N24" s="57">
        <f t="shared" si="25"/>
        <v>0</v>
      </c>
    </row>
    <row r="25" ht="14.25" customHeight="1">
      <c r="A25" s="54" t="s">
        <v>157</v>
      </c>
      <c r="B25" s="57">
        <f>+Historicals!B180</f>
        <v>0.12</v>
      </c>
      <c r="C25" s="57">
        <f>+Historicals!C180</f>
        <v>0.09</v>
      </c>
      <c r="D25" s="57">
        <f>+Historicals!D180</f>
        <v>0.04</v>
      </c>
      <c r="E25" s="57">
        <f>+Historicals!E180</f>
        <v>-0.04</v>
      </c>
      <c r="F25" s="57">
        <f>+Historicals!F180</f>
        <v>0.08</v>
      </c>
      <c r="G25" s="57">
        <f>+Historicals!G180</f>
        <v>-0.07</v>
      </c>
      <c r="H25" s="57">
        <f>+Historicals!H180</f>
        <v>0.25</v>
      </c>
      <c r="I25" s="57">
        <f>+Historicals!I180</f>
        <v>0.05</v>
      </c>
      <c r="J25" s="59">
        <v>0.0</v>
      </c>
      <c r="K25" s="59">
        <f t="shared" ref="K25:N25" si="26">+J25</f>
        <v>0</v>
      </c>
      <c r="L25" s="59">
        <f t="shared" si="26"/>
        <v>0</v>
      </c>
      <c r="M25" s="59">
        <f t="shared" si="26"/>
        <v>0</v>
      </c>
      <c r="N25" s="59">
        <f t="shared" si="26"/>
        <v>0</v>
      </c>
    </row>
    <row r="26" ht="14.25" customHeight="1">
      <c r="A26" s="54" t="s">
        <v>158</v>
      </c>
      <c r="B26" s="57" t="str">
        <f t="shared" ref="B26:I26" si="27">+IFERROR(B24-B25,"nm")</f>
        <v>nm</v>
      </c>
      <c r="C26" s="57">
        <f t="shared" si="27"/>
        <v>0.003228309429</v>
      </c>
      <c r="D26" s="57">
        <f t="shared" si="27"/>
        <v>0.001402301323</v>
      </c>
      <c r="E26" s="57">
        <f t="shared" si="27"/>
        <v>0.002618752582</v>
      </c>
      <c r="F26" s="57">
        <f t="shared" si="27"/>
        <v>-0.002441536151</v>
      </c>
      <c r="G26" s="57">
        <f t="shared" si="27"/>
        <v>-0.001279243405</v>
      </c>
      <c r="H26" s="57">
        <f t="shared" si="27"/>
        <v>-0.001849072784</v>
      </c>
      <c r="I26" s="57">
        <f t="shared" si="27"/>
        <v>0.0001545860529</v>
      </c>
      <c r="J26" s="59">
        <v>0.0</v>
      </c>
      <c r="K26" s="59">
        <f t="shared" ref="K26:N26" si="28">+J26</f>
        <v>0</v>
      </c>
      <c r="L26" s="59">
        <f t="shared" si="28"/>
        <v>0</v>
      </c>
      <c r="M26" s="59">
        <f t="shared" si="28"/>
        <v>0</v>
      </c>
      <c r="N26" s="59">
        <f t="shared" si="28"/>
        <v>0</v>
      </c>
    </row>
    <row r="27" ht="14.25" customHeight="1">
      <c r="A27" s="58" t="s">
        <v>114</v>
      </c>
      <c r="B27" s="27">
        <f>+Historicals!B109</f>
        <v>4410</v>
      </c>
      <c r="C27" s="27">
        <f>+Historicals!C109</f>
        <v>4746</v>
      </c>
      <c r="D27" s="27">
        <f>+Historicals!D109</f>
        <v>4886</v>
      </c>
      <c r="E27" s="27">
        <f>+Historicals!E109</f>
        <v>4938</v>
      </c>
      <c r="F27" s="27">
        <f>+Historicals!F109</f>
        <v>5260</v>
      </c>
      <c r="G27" s="27">
        <f>+Historicals!G109</f>
        <v>4639</v>
      </c>
      <c r="H27" s="27">
        <f>+Historicals!H109</f>
        <v>5028</v>
      </c>
      <c r="I27" s="27">
        <f>+Historicals!I109</f>
        <v>5492</v>
      </c>
      <c r="J27" s="27">
        <f t="shared" ref="J27:N27" si="29">+I27*(1+J28)</f>
        <v>5492</v>
      </c>
      <c r="K27" s="27">
        <f t="shared" si="29"/>
        <v>5492</v>
      </c>
      <c r="L27" s="27">
        <f t="shared" si="29"/>
        <v>5492</v>
      </c>
      <c r="M27" s="27">
        <f t="shared" si="29"/>
        <v>5492</v>
      </c>
      <c r="N27" s="27">
        <f t="shared" si="29"/>
        <v>5492</v>
      </c>
    </row>
    <row r="28" ht="14.25" customHeight="1">
      <c r="A28" s="54" t="s">
        <v>143</v>
      </c>
      <c r="B28" s="57" t="str">
        <f t="shared" ref="B28:I28" si="30">+IFERROR(B27/A27-1,"nm")</f>
        <v>nm</v>
      </c>
      <c r="C28" s="57">
        <f t="shared" si="30"/>
        <v>0.07619047619</v>
      </c>
      <c r="D28" s="57">
        <f t="shared" si="30"/>
        <v>0.02949852507</v>
      </c>
      <c r="E28" s="57">
        <f t="shared" si="30"/>
        <v>0.01064265248</v>
      </c>
      <c r="F28" s="57">
        <f t="shared" si="30"/>
        <v>0.06520858647</v>
      </c>
      <c r="G28" s="57">
        <f t="shared" si="30"/>
        <v>-0.1180608365</v>
      </c>
      <c r="H28" s="57">
        <f t="shared" si="30"/>
        <v>0.08385427894</v>
      </c>
      <c r="I28" s="57">
        <f t="shared" si="30"/>
        <v>0.092283214</v>
      </c>
      <c r="J28" s="57">
        <f t="shared" ref="J28:N28" si="31">+J29+J30</f>
        <v>0</v>
      </c>
      <c r="K28" s="57">
        <f t="shared" si="31"/>
        <v>0</v>
      </c>
      <c r="L28" s="57">
        <f t="shared" si="31"/>
        <v>0</v>
      </c>
      <c r="M28" s="57">
        <f t="shared" si="31"/>
        <v>0</v>
      </c>
      <c r="N28" s="57">
        <f t="shared" si="31"/>
        <v>0</v>
      </c>
    </row>
    <row r="29" ht="14.25" customHeight="1">
      <c r="A29" s="54" t="s">
        <v>157</v>
      </c>
      <c r="B29" s="57">
        <f>+Historicals!B184</f>
        <v>0.24</v>
      </c>
      <c r="C29" s="57">
        <f>+Historicals!C184</f>
        <v>0.16</v>
      </c>
      <c r="D29" s="57">
        <f>+Historicals!D184</f>
        <v>0.08</v>
      </c>
      <c r="E29" s="57">
        <f>+Historicals!E184</f>
        <v>0.06</v>
      </c>
      <c r="F29" s="57">
        <f>+Historicals!F184</f>
        <v>0.12</v>
      </c>
      <c r="G29" s="57">
        <f>+Historicals!G184</f>
        <v>-0.03</v>
      </c>
      <c r="H29" s="57">
        <f>+Historicals!H184</f>
        <v>0.19</v>
      </c>
      <c r="I29" s="57">
        <f>+Historicals!I184</f>
        <v>0.09</v>
      </c>
      <c r="J29" s="59">
        <v>0.0</v>
      </c>
      <c r="K29" s="59">
        <f t="shared" ref="K29:N29" si="32">+J29</f>
        <v>0</v>
      </c>
      <c r="L29" s="59">
        <f t="shared" si="32"/>
        <v>0</v>
      </c>
      <c r="M29" s="59">
        <f t="shared" si="32"/>
        <v>0</v>
      </c>
      <c r="N29" s="59">
        <f t="shared" si="32"/>
        <v>0</v>
      </c>
    </row>
    <row r="30" ht="14.25" customHeight="1">
      <c r="A30" s="54" t="s">
        <v>158</v>
      </c>
      <c r="B30" s="57" t="str">
        <f t="shared" ref="B30:I30" si="33">+IFERROR(B28-B29,"nm")</f>
        <v>nm</v>
      </c>
      <c r="C30" s="57">
        <f t="shared" si="33"/>
        <v>-0.08380952381</v>
      </c>
      <c r="D30" s="57">
        <f t="shared" si="33"/>
        <v>-0.05050147493</v>
      </c>
      <c r="E30" s="57">
        <f t="shared" si="33"/>
        <v>-0.04935734752</v>
      </c>
      <c r="F30" s="57">
        <f t="shared" si="33"/>
        <v>-0.05479141353</v>
      </c>
      <c r="G30" s="57">
        <f t="shared" si="33"/>
        <v>-0.0880608365</v>
      </c>
      <c r="H30" s="57">
        <f t="shared" si="33"/>
        <v>-0.1061457211</v>
      </c>
      <c r="I30" s="57">
        <f t="shared" si="33"/>
        <v>0.002283214002</v>
      </c>
      <c r="J30" s="59">
        <v>0.0</v>
      </c>
      <c r="K30" s="59">
        <f t="shared" ref="K30:N30" si="34">+J30</f>
        <v>0</v>
      </c>
      <c r="L30" s="59">
        <f t="shared" si="34"/>
        <v>0</v>
      </c>
      <c r="M30" s="59">
        <f t="shared" si="34"/>
        <v>0</v>
      </c>
      <c r="N30" s="59">
        <f t="shared" si="34"/>
        <v>0</v>
      </c>
    </row>
    <row r="31" ht="14.25" customHeight="1">
      <c r="A31" s="58" t="s">
        <v>115</v>
      </c>
      <c r="B31" s="27">
        <f>+Historicals!B110</f>
        <v>824</v>
      </c>
      <c r="C31" s="27">
        <f>+Historicals!C110</f>
        <v>719</v>
      </c>
      <c r="D31" s="27">
        <f>+Historicals!D110</f>
        <v>646</v>
      </c>
      <c r="E31" s="27">
        <f>+Historicals!E110</f>
        <v>595</v>
      </c>
      <c r="F31" s="27">
        <f>+Historicals!F110</f>
        <v>597</v>
      </c>
      <c r="G31" s="27">
        <f>+Historicals!G110</f>
        <v>516</v>
      </c>
      <c r="H31" s="27">
        <f>+Historicals!H110</f>
        <v>507</v>
      </c>
      <c r="I31" s="27">
        <f>+Historicals!I110</f>
        <v>633</v>
      </c>
      <c r="J31" s="27">
        <f t="shared" ref="J31:N31" si="35">+I31*(1+J32)</f>
        <v>633</v>
      </c>
      <c r="K31" s="27">
        <f t="shared" si="35"/>
        <v>633</v>
      </c>
      <c r="L31" s="27">
        <f t="shared" si="35"/>
        <v>633</v>
      </c>
      <c r="M31" s="27">
        <f t="shared" si="35"/>
        <v>633</v>
      </c>
      <c r="N31" s="27">
        <f t="shared" si="35"/>
        <v>633</v>
      </c>
    </row>
    <row r="32" ht="14.25" customHeight="1">
      <c r="A32" s="54" t="s">
        <v>143</v>
      </c>
      <c r="B32" s="57" t="str">
        <f t="shared" ref="B32:I32" si="36">+IFERROR(B31/A31-1,"nm")</f>
        <v>nm</v>
      </c>
      <c r="C32" s="57">
        <f t="shared" si="36"/>
        <v>-0.1274271845</v>
      </c>
      <c r="D32" s="57">
        <f t="shared" si="36"/>
        <v>-0.1015299026</v>
      </c>
      <c r="E32" s="57">
        <f t="shared" si="36"/>
        <v>-0.07894736842</v>
      </c>
      <c r="F32" s="57">
        <f t="shared" si="36"/>
        <v>0.003361344538</v>
      </c>
      <c r="G32" s="57">
        <f t="shared" si="36"/>
        <v>-0.135678392</v>
      </c>
      <c r="H32" s="57">
        <f t="shared" si="36"/>
        <v>-0.01744186047</v>
      </c>
      <c r="I32" s="57">
        <f t="shared" si="36"/>
        <v>0.2485207101</v>
      </c>
      <c r="J32" s="57">
        <f t="shared" ref="J32:N32" si="37">+J33+J34</f>
        <v>0</v>
      </c>
      <c r="K32" s="57">
        <f t="shared" si="37"/>
        <v>0</v>
      </c>
      <c r="L32" s="57">
        <f t="shared" si="37"/>
        <v>0</v>
      </c>
      <c r="M32" s="57">
        <f t="shared" si="37"/>
        <v>0</v>
      </c>
      <c r="N32" s="57">
        <f t="shared" si="37"/>
        <v>0</v>
      </c>
    </row>
    <row r="33" ht="14.25" customHeight="1">
      <c r="A33" s="54" t="s">
        <v>157</v>
      </c>
      <c r="B33" s="57">
        <f>+Historicals!B182</f>
        <v>0.12</v>
      </c>
      <c r="C33" s="57">
        <f>+Historicals!C182</f>
        <v>-0.13</v>
      </c>
      <c r="D33" s="57">
        <f>+Historicals!D182</f>
        <v>-0.1</v>
      </c>
      <c r="E33" s="57">
        <f>+Historicals!E182</f>
        <v>-0.08</v>
      </c>
      <c r="F33" s="57">
        <f>+Historicals!F182</f>
        <v>0</v>
      </c>
      <c r="G33" s="57">
        <f>+Historicals!G182</f>
        <v>-0.14</v>
      </c>
      <c r="H33" s="57">
        <f>+Historicals!H182</f>
        <v>-0.02</v>
      </c>
      <c r="I33" s="57">
        <f>+Historicals!I182</f>
        <v>0.25</v>
      </c>
      <c r="J33" s="59">
        <v>0.0</v>
      </c>
      <c r="K33" s="59">
        <f t="shared" ref="K33:N33" si="38">+J33</f>
        <v>0</v>
      </c>
      <c r="L33" s="59">
        <f t="shared" si="38"/>
        <v>0</v>
      </c>
      <c r="M33" s="59">
        <f t="shared" si="38"/>
        <v>0</v>
      </c>
      <c r="N33" s="59">
        <f t="shared" si="38"/>
        <v>0</v>
      </c>
    </row>
    <row r="34" ht="14.25" customHeight="1">
      <c r="A34" s="54" t="s">
        <v>158</v>
      </c>
      <c r="B34" s="57" t="str">
        <f t="shared" ref="B34:I34" si="39">+IFERROR(B32-B33,"nm")</f>
        <v>nm</v>
      </c>
      <c r="C34" s="57">
        <f t="shared" si="39"/>
        <v>0.002572815534</v>
      </c>
      <c r="D34" s="57">
        <f t="shared" si="39"/>
        <v>-0.001529902643</v>
      </c>
      <c r="E34" s="57">
        <f t="shared" si="39"/>
        <v>0.001052631579</v>
      </c>
      <c r="F34" s="57">
        <f t="shared" si="39"/>
        <v>0.003361344538</v>
      </c>
      <c r="G34" s="57">
        <f t="shared" si="39"/>
        <v>0.00432160804</v>
      </c>
      <c r="H34" s="57">
        <f t="shared" si="39"/>
        <v>0.002558139535</v>
      </c>
      <c r="I34" s="57">
        <f t="shared" si="39"/>
        <v>-0.001479289941</v>
      </c>
      <c r="J34" s="59">
        <v>0.0</v>
      </c>
      <c r="K34" s="59">
        <f t="shared" ref="K34:N34" si="40">+J34</f>
        <v>0</v>
      </c>
      <c r="L34" s="59">
        <f t="shared" si="40"/>
        <v>0</v>
      </c>
      <c r="M34" s="59">
        <f t="shared" si="40"/>
        <v>0</v>
      </c>
      <c r="N34" s="59">
        <f t="shared" si="40"/>
        <v>0</v>
      </c>
    </row>
    <row r="35" ht="14.25" customHeight="1">
      <c r="A35" s="53" t="s">
        <v>144</v>
      </c>
      <c r="B35" s="53">
        <f t="shared" ref="B35:I35" si="41">+B42+B38</f>
        <v>3766</v>
      </c>
      <c r="C35" s="53">
        <f t="shared" si="41"/>
        <v>3896</v>
      </c>
      <c r="D35" s="53">
        <f t="shared" si="41"/>
        <v>4015</v>
      </c>
      <c r="E35" s="53">
        <f t="shared" si="41"/>
        <v>3760</v>
      </c>
      <c r="F35" s="53">
        <f t="shared" si="41"/>
        <v>4074</v>
      </c>
      <c r="G35" s="53">
        <f t="shared" si="41"/>
        <v>3047</v>
      </c>
      <c r="H35" s="53">
        <f t="shared" si="41"/>
        <v>5219</v>
      </c>
      <c r="I35" s="53">
        <f t="shared" si="41"/>
        <v>5238</v>
      </c>
      <c r="J35" s="53">
        <f t="shared" ref="J35:N35" si="42">+J21*J37</f>
        <v>5238</v>
      </c>
      <c r="K35" s="53">
        <f t="shared" si="42"/>
        <v>5238</v>
      </c>
      <c r="L35" s="53">
        <f t="shared" si="42"/>
        <v>5238</v>
      </c>
      <c r="M35" s="53">
        <f t="shared" si="42"/>
        <v>5238</v>
      </c>
      <c r="N35" s="53">
        <f t="shared" si="42"/>
        <v>5238</v>
      </c>
    </row>
    <row r="36" ht="14.25" customHeight="1">
      <c r="A36" s="54" t="s">
        <v>143</v>
      </c>
      <c r="B36" s="57" t="str">
        <f t="shared" ref="B36:N36" si="43">+IFERROR(B35/A35-1,"nm")</f>
        <v>nm</v>
      </c>
      <c r="C36" s="57">
        <f t="shared" si="43"/>
        <v>0.03451938396</v>
      </c>
      <c r="D36" s="57">
        <f t="shared" si="43"/>
        <v>0.03054414784</v>
      </c>
      <c r="E36" s="57">
        <f t="shared" si="43"/>
        <v>-0.06351183064</v>
      </c>
      <c r="F36" s="57">
        <f t="shared" si="43"/>
        <v>0.0835106383</v>
      </c>
      <c r="G36" s="57">
        <f t="shared" si="43"/>
        <v>-0.2520864016</v>
      </c>
      <c r="H36" s="57">
        <f t="shared" si="43"/>
        <v>0.7128322941</v>
      </c>
      <c r="I36" s="57">
        <f t="shared" si="43"/>
        <v>0.003640544166</v>
      </c>
      <c r="J36" s="57">
        <f t="shared" si="43"/>
        <v>0</v>
      </c>
      <c r="K36" s="57">
        <f t="shared" si="43"/>
        <v>0</v>
      </c>
      <c r="L36" s="57">
        <f t="shared" si="43"/>
        <v>0</v>
      </c>
      <c r="M36" s="57">
        <f t="shared" si="43"/>
        <v>0</v>
      </c>
      <c r="N36" s="57">
        <f t="shared" si="43"/>
        <v>0</v>
      </c>
    </row>
    <row r="37" ht="14.25" customHeight="1">
      <c r="A37" s="54" t="s">
        <v>146</v>
      </c>
      <c r="B37" s="57">
        <f t="shared" ref="B37:I37" si="44">+IFERROR(B35/B$21,"nm")</f>
        <v>0.2740902475</v>
      </c>
      <c r="C37" s="57">
        <f t="shared" si="44"/>
        <v>0.263885126</v>
      </c>
      <c r="D37" s="57">
        <f t="shared" si="44"/>
        <v>0.2638669821</v>
      </c>
      <c r="E37" s="57">
        <f t="shared" si="44"/>
        <v>0.2531134298</v>
      </c>
      <c r="F37" s="57">
        <f t="shared" si="44"/>
        <v>0.2561941894</v>
      </c>
      <c r="G37" s="57">
        <f t="shared" si="44"/>
        <v>0.2103700635</v>
      </c>
      <c r="H37" s="57">
        <f t="shared" si="44"/>
        <v>0.3038011526</v>
      </c>
      <c r="I37" s="57">
        <f t="shared" si="44"/>
        <v>0.2854029314</v>
      </c>
      <c r="J37" s="59">
        <f t="shared" ref="J37:N37" si="45">+I37</f>
        <v>0.2854029314</v>
      </c>
      <c r="K37" s="59">
        <f t="shared" si="45"/>
        <v>0.2854029314</v>
      </c>
      <c r="L37" s="59">
        <f t="shared" si="45"/>
        <v>0.2854029314</v>
      </c>
      <c r="M37" s="59">
        <f t="shared" si="45"/>
        <v>0.2854029314</v>
      </c>
      <c r="N37" s="59">
        <f t="shared" si="45"/>
        <v>0.2854029314</v>
      </c>
    </row>
    <row r="38" ht="14.25" customHeight="1">
      <c r="A38" s="53" t="s">
        <v>147</v>
      </c>
      <c r="B38" s="53">
        <f>+Historicals!B167</f>
        <v>121</v>
      </c>
      <c r="C38" s="53">
        <f>+Historicals!C167</f>
        <v>133</v>
      </c>
      <c r="D38" s="53">
        <f>+Historicals!D167</f>
        <v>140</v>
      </c>
      <c r="E38" s="53">
        <f>+Historicals!E167</f>
        <v>160</v>
      </c>
      <c r="F38" s="53">
        <f>+Historicals!F167</f>
        <v>149</v>
      </c>
      <c r="G38" s="53">
        <f>+Historicals!G167</f>
        <v>148</v>
      </c>
      <c r="H38" s="53">
        <f>+Historicals!H167</f>
        <v>130</v>
      </c>
      <c r="I38" s="53">
        <f>+Historicals!I167</f>
        <v>124</v>
      </c>
      <c r="J38" s="53">
        <f t="shared" ref="J38:N38" si="46">+J41*J48</f>
        <v>124</v>
      </c>
      <c r="K38" s="53">
        <f t="shared" si="46"/>
        <v>124</v>
      </c>
      <c r="L38" s="53">
        <f t="shared" si="46"/>
        <v>124</v>
      </c>
      <c r="M38" s="53">
        <f t="shared" si="46"/>
        <v>124</v>
      </c>
      <c r="N38" s="53">
        <f t="shared" si="46"/>
        <v>124</v>
      </c>
    </row>
    <row r="39" ht="14.25" customHeight="1">
      <c r="A39" s="54" t="s">
        <v>143</v>
      </c>
      <c r="B39" s="57" t="str">
        <f t="shared" ref="B39:N39" si="47">+IFERROR(B38/A38-1,"nm")</f>
        <v>nm</v>
      </c>
      <c r="C39" s="57">
        <f t="shared" si="47"/>
        <v>0.09917355372</v>
      </c>
      <c r="D39" s="57">
        <f t="shared" si="47"/>
        <v>0.05263157895</v>
      </c>
      <c r="E39" s="57">
        <f t="shared" si="47"/>
        <v>0.1428571429</v>
      </c>
      <c r="F39" s="57">
        <f t="shared" si="47"/>
        <v>-0.06875</v>
      </c>
      <c r="G39" s="57">
        <f t="shared" si="47"/>
        <v>-0.006711409396</v>
      </c>
      <c r="H39" s="57">
        <f t="shared" si="47"/>
        <v>-0.1216216216</v>
      </c>
      <c r="I39" s="57">
        <f t="shared" si="47"/>
        <v>-0.04615384615</v>
      </c>
      <c r="J39" s="57">
        <f t="shared" si="47"/>
        <v>0</v>
      </c>
      <c r="K39" s="57">
        <f t="shared" si="47"/>
        <v>0</v>
      </c>
      <c r="L39" s="57">
        <f t="shared" si="47"/>
        <v>0</v>
      </c>
      <c r="M39" s="57">
        <f t="shared" si="47"/>
        <v>0</v>
      </c>
      <c r="N39" s="57">
        <f t="shared" si="47"/>
        <v>0</v>
      </c>
    </row>
    <row r="40" ht="14.25" customHeight="1">
      <c r="A40" s="54" t="s">
        <v>149</v>
      </c>
      <c r="B40" s="57">
        <f t="shared" ref="B40:N40" si="48">+IFERROR(B38/B$21,"nm")</f>
        <v>0.008806404658</v>
      </c>
      <c r="C40" s="57">
        <f t="shared" si="48"/>
        <v>0.009008398808</v>
      </c>
      <c r="D40" s="57">
        <f t="shared" si="48"/>
        <v>0.00920084122</v>
      </c>
      <c r="E40" s="57">
        <f t="shared" si="48"/>
        <v>0.01077078425</v>
      </c>
      <c r="F40" s="57">
        <f t="shared" si="48"/>
        <v>0.00936989058</v>
      </c>
      <c r="G40" s="57">
        <f t="shared" si="48"/>
        <v>0.01021817178</v>
      </c>
      <c r="H40" s="57">
        <f t="shared" si="48"/>
        <v>0.007567378776</v>
      </c>
      <c r="I40" s="57">
        <f t="shared" si="48"/>
        <v>0.006756388601</v>
      </c>
      <c r="J40" s="57">
        <f t="shared" si="48"/>
        <v>0.006756388601</v>
      </c>
      <c r="K40" s="57">
        <f t="shared" si="48"/>
        <v>0.006756388601</v>
      </c>
      <c r="L40" s="57">
        <f t="shared" si="48"/>
        <v>0.006756388601</v>
      </c>
      <c r="M40" s="57">
        <f t="shared" si="48"/>
        <v>0.006756388601</v>
      </c>
      <c r="N40" s="57">
        <f t="shared" si="48"/>
        <v>0.006756388601</v>
      </c>
    </row>
    <row r="41" ht="14.25" customHeight="1">
      <c r="A41" s="54" t="s">
        <v>159</v>
      </c>
      <c r="B41" s="57">
        <f t="shared" ref="B41:I41" si="49">+IFERROR(B38/B48,"nm")</f>
        <v>0.1914556962</v>
      </c>
      <c r="C41" s="57">
        <f t="shared" si="49"/>
        <v>0.179245283</v>
      </c>
      <c r="D41" s="57">
        <f t="shared" si="49"/>
        <v>0.1709401709</v>
      </c>
      <c r="E41" s="57">
        <f t="shared" si="49"/>
        <v>0.1886792453</v>
      </c>
      <c r="F41" s="57">
        <f t="shared" si="49"/>
        <v>0.183046683</v>
      </c>
      <c r="G41" s="57">
        <f t="shared" si="49"/>
        <v>0.2294573643</v>
      </c>
      <c r="H41" s="57">
        <f t="shared" si="49"/>
        <v>0.2106969206</v>
      </c>
      <c r="I41" s="57">
        <f t="shared" si="49"/>
        <v>0.1940532081</v>
      </c>
      <c r="J41" s="59">
        <f t="shared" ref="J41:N41" si="50">+I41</f>
        <v>0.1940532081</v>
      </c>
      <c r="K41" s="59">
        <f t="shared" si="50"/>
        <v>0.1940532081</v>
      </c>
      <c r="L41" s="59">
        <f t="shared" si="50"/>
        <v>0.1940532081</v>
      </c>
      <c r="M41" s="59">
        <f t="shared" si="50"/>
        <v>0.1940532081</v>
      </c>
      <c r="N41" s="59">
        <f t="shared" si="50"/>
        <v>0.1940532081</v>
      </c>
    </row>
    <row r="42" ht="14.25" customHeight="1">
      <c r="A42" s="53" t="s">
        <v>150</v>
      </c>
      <c r="B42" s="53">
        <f>+Historicals!B134</f>
        <v>3645</v>
      </c>
      <c r="C42" s="53">
        <f>+Historicals!C134</f>
        <v>3763</v>
      </c>
      <c r="D42" s="53">
        <f>+Historicals!D134</f>
        <v>3875</v>
      </c>
      <c r="E42" s="53">
        <f>+Historicals!E134</f>
        <v>3600</v>
      </c>
      <c r="F42" s="53">
        <f>+Historicals!F134</f>
        <v>3925</v>
      </c>
      <c r="G42" s="53">
        <f>+Historicals!G134</f>
        <v>2899</v>
      </c>
      <c r="H42" s="53">
        <f>+Historicals!H134</f>
        <v>5089</v>
      </c>
      <c r="I42" s="53">
        <f>+Historicals!I134</f>
        <v>5114</v>
      </c>
      <c r="J42" s="53">
        <f t="shared" ref="J42:N42" si="51">+J35-J38</f>
        <v>5114</v>
      </c>
      <c r="K42" s="53">
        <f t="shared" si="51"/>
        <v>5114</v>
      </c>
      <c r="L42" s="53">
        <f t="shared" si="51"/>
        <v>5114</v>
      </c>
      <c r="M42" s="53">
        <f t="shared" si="51"/>
        <v>5114</v>
      </c>
      <c r="N42" s="53">
        <f t="shared" si="51"/>
        <v>5114</v>
      </c>
    </row>
    <row r="43" ht="14.25" customHeight="1">
      <c r="A43" s="54" t="s">
        <v>143</v>
      </c>
      <c r="B43" s="57" t="str">
        <f t="shared" ref="B43:N43" si="52">+IFERROR(B42/A42-1,"nm")</f>
        <v>nm</v>
      </c>
      <c r="C43" s="57">
        <f t="shared" si="52"/>
        <v>0.03237311385</v>
      </c>
      <c r="D43" s="57">
        <f t="shared" si="52"/>
        <v>0.02976348658</v>
      </c>
      <c r="E43" s="57">
        <f t="shared" si="52"/>
        <v>-0.07096774194</v>
      </c>
      <c r="F43" s="57">
        <f t="shared" si="52"/>
        <v>0.09027777778</v>
      </c>
      <c r="G43" s="57">
        <f t="shared" si="52"/>
        <v>-0.2614012739</v>
      </c>
      <c r="H43" s="57">
        <f t="shared" si="52"/>
        <v>0.7554329079</v>
      </c>
      <c r="I43" s="57">
        <f t="shared" si="52"/>
        <v>0.004912556494</v>
      </c>
      <c r="J43" s="57">
        <f t="shared" si="52"/>
        <v>0</v>
      </c>
      <c r="K43" s="57">
        <f t="shared" si="52"/>
        <v>0</v>
      </c>
      <c r="L43" s="57">
        <f t="shared" si="52"/>
        <v>0</v>
      </c>
      <c r="M43" s="57">
        <f t="shared" si="52"/>
        <v>0</v>
      </c>
      <c r="N43" s="57">
        <f t="shared" si="52"/>
        <v>0</v>
      </c>
    </row>
    <row r="44" ht="14.25" customHeight="1">
      <c r="A44" s="54" t="s">
        <v>146</v>
      </c>
      <c r="B44" s="57">
        <f t="shared" ref="B44:N44" si="53">+IFERROR(B42/B$21,"nm")</f>
        <v>0.2652838428</v>
      </c>
      <c r="C44" s="57">
        <f t="shared" si="53"/>
        <v>0.2548767272</v>
      </c>
      <c r="D44" s="57">
        <f t="shared" si="53"/>
        <v>0.2546661409</v>
      </c>
      <c r="E44" s="57">
        <f t="shared" si="53"/>
        <v>0.2423426456</v>
      </c>
      <c r="F44" s="57">
        <f t="shared" si="53"/>
        <v>0.2468242988</v>
      </c>
      <c r="G44" s="57">
        <f t="shared" si="53"/>
        <v>0.2001518917</v>
      </c>
      <c r="H44" s="57">
        <f t="shared" si="53"/>
        <v>0.2962337738</v>
      </c>
      <c r="I44" s="57">
        <f t="shared" si="53"/>
        <v>0.2786465428</v>
      </c>
      <c r="J44" s="57">
        <f t="shared" si="53"/>
        <v>0.2786465428</v>
      </c>
      <c r="K44" s="57">
        <f t="shared" si="53"/>
        <v>0.2786465428</v>
      </c>
      <c r="L44" s="57">
        <f t="shared" si="53"/>
        <v>0.2786465428</v>
      </c>
      <c r="M44" s="57">
        <f t="shared" si="53"/>
        <v>0.2786465428</v>
      </c>
      <c r="N44" s="57">
        <f t="shared" si="53"/>
        <v>0.2786465428</v>
      </c>
    </row>
    <row r="45" ht="14.25" customHeight="1">
      <c r="A45" s="53" t="s">
        <v>152</v>
      </c>
      <c r="B45" s="53">
        <f>+Historicals!B156</f>
        <v>208</v>
      </c>
      <c r="C45" s="53">
        <f>+Historicals!C156</f>
        <v>242</v>
      </c>
      <c r="D45" s="53">
        <f>+Historicals!D156</f>
        <v>223</v>
      </c>
      <c r="E45" s="53">
        <f>+Historicals!E156</f>
        <v>196</v>
      </c>
      <c r="F45" s="53">
        <f>+Historicals!F156</f>
        <v>117</v>
      </c>
      <c r="G45" s="53">
        <f>+Historicals!G156</f>
        <v>110</v>
      </c>
      <c r="H45" s="53">
        <f>+Historicals!H156</f>
        <v>98</v>
      </c>
      <c r="I45" s="53">
        <f>+Historicals!I156</f>
        <v>146</v>
      </c>
      <c r="J45" s="53">
        <f t="shared" ref="J45:N45" si="54">+J21*J47</f>
        <v>146</v>
      </c>
      <c r="K45" s="53">
        <f t="shared" si="54"/>
        <v>146</v>
      </c>
      <c r="L45" s="53">
        <f t="shared" si="54"/>
        <v>146</v>
      </c>
      <c r="M45" s="53">
        <f t="shared" si="54"/>
        <v>146</v>
      </c>
      <c r="N45" s="53">
        <f t="shared" si="54"/>
        <v>146</v>
      </c>
    </row>
    <row r="46" ht="14.25" customHeight="1">
      <c r="A46" s="54" t="s">
        <v>143</v>
      </c>
      <c r="B46" s="57" t="str">
        <f t="shared" ref="B46:N46" si="55">+IFERROR(B45/A45-1,"nm")</f>
        <v>nm</v>
      </c>
      <c r="C46" s="57">
        <f t="shared" si="55"/>
        <v>0.1634615385</v>
      </c>
      <c r="D46" s="57">
        <f t="shared" si="55"/>
        <v>-0.07851239669</v>
      </c>
      <c r="E46" s="57">
        <f t="shared" si="55"/>
        <v>-0.1210762332</v>
      </c>
      <c r="F46" s="57">
        <f t="shared" si="55"/>
        <v>-0.4030612245</v>
      </c>
      <c r="G46" s="57">
        <f t="shared" si="55"/>
        <v>-0.05982905983</v>
      </c>
      <c r="H46" s="57">
        <f t="shared" si="55"/>
        <v>-0.1090909091</v>
      </c>
      <c r="I46" s="57">
        <f t="shared" si="55"/>
        <v>0.4897959184</v>
      </c>
      <c r="J46" s="57">
        <f t="shared" si="55"/>
        <v>0</v>
      </c>
      <c r="K46" s="57">
        <f t="shared" si="55"/>
        <v>0</v>
      </c>
      <c r="L46" s="57">
        <f t="shared" si="55"/>
        <v>0</v>
      </c>
      <c r="M46" s="57">
        <f t="shared" si="55"/>
        <v>0</v>
      </c>
      <c r="N46" s="57">
        <f t="shared" si="55"/>
        <v>0</v>
      </c>
    </row>
    <row r="47" ht="14.25" customHeight="1">
      <c r="A47" s="54" t="s">
        <v>149</v>
      </c>
      <c r="B47" s="57">
        <f t="shared" ref="B47:I47" si="56">+IFERROR(B45/B$21,"nm")</f>
        <v>0.01513828239</v>
      </c>
      <c r="C47" s="57">
        <f t="shared" si="56"/>
        <v>0.01639122189</v>
      </c>
      <c r="D47" s="57">
        <f t="shared" si="56"/>
        <v>0.01465562566</v>
      </c>
      <c r="E47" s="57">
        <f t="shared" si="56"/>
        <v>0.0131942107</v>
      </c>
      <c r="F47" s="57">
        <f t="shared" si="56"/>
        <v>0.007357565086</v>
      </c>
      <c r="G47" s="57">
        <f t="shared" si="56"/>
        <v>0.007594587131</v>
      </c>
      <c r="H47" s="57">
        <f t="shared" si="56"/>
        <v>0.005704639385</v>
      </c>
      <c r="I47" s="57">
        <f t="shared" si="56"/>
        <v>0.007955102708</v>
      </c>
      <c r="J47" s="59">
        <f t="shared" ref="J47:N47" si="57">+I47</f>
        <v>0.007955102708</v>
      </c>
      <c r="K47" s="59">
        <f t="shared" si="57"/>
        <v>0.007955102708</v>
      </c>
      <c r="L47" s="59">
        <f t="shared" si="57"/>
        <v>0.007955102708</v>
      </c>
      <c r="M47" s="59">
        <f t="shared" si="57"/>
        <v>0.007955102708</v>
      </c>
      <c r="N47" s="59">
        <f t="shared" si="57"/>
        <v>0.007955102708</v>
      </c>
    </row>
    <row r="48" ht="14.25" customHeight="1">
      <c r="A48" s="53" t="s">
        <v>154</v>
      </c>
      <c r="B48" s="53">
        <f>+Historicals!B145</f>
        <v>632</v>
      </c>
      <c r="C48" s="53">
        <f>+Historicals!C145</f>
        <v>742</v>
      </c>
      <c r="D48" s="53">
        <f>+Historicals!D145</f>
        <v>819</v>
      </c>
      <c r="E48" s="53">
        <f>+Historicals!E145</f>
        <v>848</v>
      </c>
      <c r="F48" s="53">
        <f>+Historicals!F145</f>
        <v>814</v>
      </c>
      <c r="G48" s="53">
        <f>+Historicals!G145</f>
        <v>645</v>
      </c>
      <c r="H48" s="53">
        <f>+Historicals!H145</f>
        <v>617</v>
      </c>
      <c r="I48" s="53">
        <f>+Historicals!I145</f>
        <v>639</v>
      </c>
      <c r="J48" s="53">
        <f t="shared" ref="J48:N48" si="58">+J21*J50</f>
        <v>639</v>
      </c>
      <c r="K48" s="53">
        <f t="shared" si="58"/>
        <v>639</v>
      </c>
      <c r="L48" s="53">
        <f t="shared" si="58"/>
        <v>639</v>
      </c>
      <c r="M48" s="53">
        <f t="shared" si="58"/>
        <v>639</v>
      </c>
      <c r="N48" s="53">
        <f t="shared" si="58"/>
        <v>639</v>
      </c>
    </row>
    <row r="49" ht="14.25" customHeight="1">
      <c r="A49" s="54" t="s">
        <v>143</v>
      </c>
      <c r="B49" s="57" t="str">
        <f t="shared" ref="B49:I49" si="59">+IFERROR(B48/A48-1,"nm")</f>
        <v>nm</v>
      </c>
      <c r="C49" s="57">
        <f t="shared" si="59"/>
        <v>0.1740506329</v>
      </c>
      <c r="D49" s="57">
        <f t="shared" si="59"/>
        <v>0.1037735849</v>
      </c>
      <c r="E49" s="57">
        <f t="shared" si="59"/>
        <v>0.03540903541</v>
      </c>
      <c r="F49" s="57">
        <f t="shared" si="59"/>
        <v>-0.04009433962</v>
      </c>
      <c r="G49" s="57">
        <f t="shared" si="59"/>
        <v>-0.2076167076</v>
      </c>
      <c r="H49" s="57">
        <f t="shared" si="59"/>
        <v>-0.04341085271</v>
      </c>
      <c r="I49" s="57">
        <f t="shared" si="59"/>
        <v>0.03565640194</v>
      </c>
      <c r="J49" s="57">
        <f t="shared" ref="J49:N49" si="60">+J50+J51</f>
        <v>0.0348171961</v>
      </c>
      <c r="K49" s="57">
        <f t="shared" si="60"/>
        <v>0.0348171961</v>
      </c>
      <c r="L49" s="57">
        <f t="shared" si="60"/>
        <v>0.0348171961</v>
      </c>
      <c r="M49" s="57">
        <f t="shared" si="60"/>
        <v>0.0348171961</v>
      </c>
      <c r="N49" s="57">
        <f t="shared" si="60"/>
        <v>0.0348171961</v>
      </c>
    </row>
    <row r="50" ht="14.25" customHeight="1">
      <c r="A50" s="54" t="s">
        <v>149</v>
      </c>
      <c r="B50" s="57">
        <f t="shared" ref="B50:I50" si="61">+IFERROR(B48/B$21,"nm")</f>
        <v>0.04599708879</v>
      </c>
      <c r="C50" s="57">
        <f t="shared" si="61"/>
        <v>0.05025738282</v>
      </c>
      <c r="D50" s="57">
        <f t="shared" si="61"/>
        <v>0.05382492114</v>
      </c>
      <c r="E50" s="57">
        <f t="shared" si="61"/>
        <v>0.05708515651</v>
      </c>
      <c r="F50" s="57">
        <f t="shared" si="61"/>
        <v>0.05118852974</v>
      </c>
      <c r="G50" s="57">
        <f t="shared" si="61"/>
        <v>0.04453189727</v>
      </c>
      <c r="H50" s="57">
        <f t="shared" si="61"/>
        <v>0.03591594388</v>
      </c>
      <c r="I50" s="57">
        <f t="shared" si="61"/>
        <v>0.0348171961</v>
      </c>
      <c r="J50" s="59">
        <f t="shared" ref="J50:N50" si="62">+I50</f>
        <v>0.0348171961</v>
      </c>
      <c r="K50" s="59">
        <f t="shared" si="62"/>
        <v>0.0348171961</v>
      </c>
      <c r="L50" s="59">
        <f t="shared" si="62"/>
        <v>0.0348171961</v>
      </c>
      <c r="M50" s="59">
        <f t="shared" si="62"/>
        <v>0.0348171961</v>
      </c>
      <c r="N50" s="59">
        <f t="shared" si="62"/>
        <v>0.0348171961</v>
      </c>
    </row>
    <row r="51" ht="14.25" customHeight="1">
      <c r="A51" s="56" t="str">
        <f>+Historicals!A111</f>
        <v>Europe, Middle East &amp; Africa</v>
      </c>
      <c r="B51" s="56"/>
      <c r="C51" s="56"/>
      <c r="D51" s="56"/>
      <c r="E51" s="56"/>
      <c r="F51" s="56"/>
      <c r="G51" s="56"/>
      <c r="H51" s="56"/>
      <c r="I51" s="56"/>
      <c r="J51" s="51"/>
      <c r="K51" s="51"/>
      <c r="L51" s="51"/>
      <c r="M51" s="51"/>
      <c r="N51" s="51"/>
    </row>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8.71"/>
    <col customWidth="1" min="2" max="14" width="11.71"/>
    <col customWidth="1" min="15" max="15" width="70.0"/>
    <col customWidth="1" min="16" max="26" width="8.71"/>
  </cols>
  <sheetData>
    <row r="1" ht="60.0" customHeight="1">
      <c r="A1" s="6" t="s">
        <v>160</v>
      </c>
      <c r="B1" s="7">
        <f t="shared" ref="B1:H1" si="1">+C1-1</f>
        <v>2015</v>
      </c>
      <c r="C1" s="7">
        <f t="shared" si="1"/>
        <v>2016</v>
      </c>
      <c r="D1" s="7">
        <f t="shared" si="1"/>
        <v>2017</v>
      </c>
      <c r="E1" s="7">
        <f t="shared" si="1"/>
        <v>2018</v>
      </c>
      <c r="F1" s="7">
        <f t="shared" si="1"/>
        <v>2019</v>
      </c>
      <c r="G1" s="7">
        <f t="shared" si="1"/>
        <v>2020</v>
      </c>
      <c r="H1" s="7">
        <f t="shared" si="1"/>
        <v>2021</v>
      </c>
      <c r="I1" s="7">
        <v>2022.0</v>
      </c>
      <c r="J1" s="51">
        <f t="shared" ref="J1:N1" si="2">+I1+1</f>
        <v>2023</v>
      </c>
      <c r="K1" s="51">
        <f t="shared" si="2"/>
        <v>2024</v>
      </c>
      <c r="L1" s="51">
        <f t="shared" si="2"/>
        <v>2025</v>
      </c>
      <c r="M1" s="51">
        <f t="shared" si="2"/>
        <v>2026</v>
      </c>
      <c r="N1" s="51">
        <f t="shared" si="2"/>
        <v>2027</v>
      </c>
      <c r="O1" s="60" t="s">
        <v>161</v>
      </c>
      <c r="P1" s="3"/>
      <c r="Q1" s="3"/>
      <c r="R1" s="3"/>
      <c r="S1" s="3"/>
      <c r="T1" s="3"/>
      <c r="U1" s="3"/>
      <c r="V1" s="3"/>
      <c r="W1" s="3"/>
      <c r="X1" s="3"/>
      <c r="Y1" s="3"/>
      <c r="Z1" s="3"/>
    </row>
    <row r="2" ht="14.25" customHeight="1">
      <c r="A2" s="52" t="s">
        <v>162</v>
      </c>
      <c r="B2" s="52"/>
      <c r="C2" s="52"/>
      <c r="D2" s="52"/>
      <c r="E2" s="52"/>
      <c r="F2" s="52"/>
      <c r="G2" s="52"/>
      <c r="H2" s="52"/>
      <c r="I2" s="52"/>
      <c r="J2" s="52"/>
      <c r="K2" s="52"/>
      <c r="L2" s="52"/>
      <c r="M2" s="52"/>
      <c r="N2" s="52"/>
      <c r="O2" s="3"/>
      <c r="P2" s="3"/>
      <c r="Q2" s="3"/>
      <c r="R2" s="3"/>
      <c r="S2" s="3"/>
      <c r="T2" s="3"/>
      <c r="U2" s="3"/>
      <c r="V2" s="3"/>
      <c r="W2" s="3"/>
      <c r="X2" s="3"/>
      <c r="Y2" s="3"/>
      <c r="Z2" s="3"/>
    </row>
    <row r="3" ht="14.25" customHeight="1">
      <c r="A3" s="2" t="s">
        <v>156</v>
      </c>
      <c r="B3" s="61">
        <f>Historicals!B2</f>
        <v>30601</v>
      </c>
      <c r="C3" s="61">
        <f>Historicals!C2</f>
        <v>32376</v>
      </c>
      <c r="D3" s="61">
        <f>Historicals!D2</f>
        <v>34350</v>
      </c>
      <c r="E3" s="61">
        <f>Historicals!E2</f>
        <v>36397</v>
      </c>
      <c r="F3" s="61">
        <f>Historicals!F2</f>
        <v>39117</v>
      </c>
      <c r="G3" s="61">
        <f>Historicals!G2</f>
        <v>37403</v>
      </c>
      <c r="H3" s="61">
        <f>Historicals!H2</f>
        <v>44538</v>
      </c>
      <c r="I3" s="61">
        <f>Historicals!I2</f>
        <v>46710</v>
      </c>
      <c r="J3" s="12">
        <f t="shared" ref="J3:N3" si="3">I3*(1+I4)</f>
        <v>48987.92267</v>
      </c>
      <c r="K3" s="12">
        <f t="shared" si="3"/>
        <v>51376.93359</v>
      </c>
      <c r="L3" s="12">
        <f t="shared" si="3"/>
        <v>53882.45022</v>
      </c>
      <c r="M3" s="12">
        <f t="shared" si="3"/>
        <v>56510.15424</v>
      </c>
      <c r="N3" s="12">
        <f t="shared" si="3"/>
        <v>59266.00442</v>
      </c>
      <c r="O3" s="3"/>
      <c r="P3" s="3"/>
      <c r="Q3" s="3"/>
      <c r="R3" s="3"/>
      <c r="S3" s="3"/>
      <c r="T3" s="3"/>
      <c r="U3" s="3"/>
      <c r="V3" s="3"/>
      <c r="W3" s="3"/>
      <c r="X3" s="3"/>
      <c r="Y3" s="3"/>
      <c r="Z3" s="3"/>
    </row>
    <row r="4" ht="14.25" customHeight="1">
      <c r="A4" s="54" t="s">
        <v>143</v>
      </c>
      <c r="B4" s="62" t="str">
        <f>+IFERROR(B3/Historicals!K2-1,"nm")</f>
        <v>nm</v>
      </c>
      <c r="C4" s="62">
        <f t="shared" ref="C4:N4" si="4">+IFERROR(C3/B3-1,"nm")</f>
        <v>0.05800464037</v>
      </c>
      <c r="D4" s="62">
        <f t="shared" si="4"/>
        <v>0.0609710897</v>
      </c>
      <c r="E4" s="62">
        <f t="shared" si="4"/>
        <v>0.05959243086</v>
      </c>
      <c r="F4" s="62">
        <f t="shared" si="4"/>
        <v>0.07473143391</v>
      </c>
      <c r="G4" s="62">
        <f t="shared" si="4"/>
        <v>-0.04381726615</v>
      </c>
      <c r="H4" s="62">
        <f t="shared" si="4"/>
        <v>0.1907600995</v>
      </c>
      <c r="I4" s="62">
        <f t="shared" si="4"/>
        <v>0.04876734474</v>
      </c>
      <c r="J4" s="62">
        <f t="shared" si="4"/>
        <v>0.04876734474</v>
      </c>
      <c r="K4" s="62">
        <f t="shared" si="4"/>
        <v>0.04876734474</v>
      </c>
      <c r="L4" s="62">
        <f t="shared" si="4"/>
        <v>0.04876734474</v>
      </c>
      <c r="M4" s="62">
        <f t="shared" si="4"/>
        <v>0.04876734474</v>
      </c>
      <c r="N4" s="62">
        <f t="shared" si="4"/>
        <v>0.04876734474</v>
      </c>
      <c r="O4" s="63" t="s">
        <v>163</v>
      </c>
      <c r="R4" s="3"/>
      <c r="S4" s="3"/>
      <c r="T4" s="3"/>
      <c r="U4" s="3"/>
      <c r="V4" s="3"/>
      <c r="W4" s="3"/>
      <c r="X4" s="3"/>
      <c r="Y4" s="3"/>
      <c r="Z4" s="3"/>
    </row>
    <row r="5" ht="14.25" customHeight="1">
      <c r="A5" s="2" t="s">
        <v>164</v>
      </c>
      <c r="B5" s="12">
        <f>'Segmental forecast'!B5</f>
        <v>3766</v>
      </c>
      <c r="C5" s="12">
        <f>'Segmental forecast'!C5</f>
        <v>3896</v>
      </c>
      <c r="D5" s="12">
        <f>'Segmental forecast'!D5</f>
        <v>4015</v>
      </c>
      <c r="E5" s="12">
        <f>'Segmental forecast'!E5</f>
        <v>3760</v>
      </c>
      <c r="F5" s="12">
        <f>'Segmental forecast'!F5</f>
        <v>4074</v>
      </c>
      <c r="G5" s="12">
        <f>'Segmental forecast'!G5</f>
        <v>3047</v>
      </c>
      <c r="H5" s="12">
        <f>'Segmental forecast'!H5</f>
        <v>5219</v>
      </c>
      <c r="I5" s="12">
        <f>'Segmental forecast'!I5</f>
        <v>5238</v>
      </c>
      <c r="J5" s="12">
        <f t="shared" ref="J5:N5" si="5">I5*(1+I4)</f>
        <v>5493.443352</v>
      </c>
      <c r="K5" s="12">
        <f t="shared" si="5"/>
        <v>5761.343997</v>
      </c>
      <c r="L5" s="12">
        <f t="shared" si="5"/>
        <v>6042.309446</v>
      </c>
      <c r="M5" s="12">
        <f t="shared" si="5"/>
        <v>6336.976834</v>
      </c>
      <c r="N5" s="12">
        <f t="shared" si="5"/>
        <v>6646.014368</v>
      </c>
      <c r="O5" s="63"/>
      <c r="P5" s="3"/>
      <c r="Q5" s="3"/>
      <c r="R5" s="3"/>
      <c r="S5" s="3"/>
      <c r="T5" s="3"/>
      <c r="U5" s="3"/>
      <c r="V5" s="3"/>
      <c r="W5" s="3"/>
      <c r="X5" s="3"/>
      <c r="Y5" s="3"/>
      <c r="Z5" s="3"/>
    </row>
    <row r="6" ht="14.25" customHeight="1">
      <c r="A6" s="58" t="s">
        <v>147</v>
      </c>
      <c r="B6" s="12">
        <f>'Segmental forecast'!B8</f>
        <v>121</v>
      </c>
      <c r="C6" s="12">
        <f>'Segmental forecast'!C8</f>
        <v>133</v>
      </c>
      <c r="D6" s="12">
        <f>'Segmental forecast'!D8</f>
        <v>140</v>
      </c>
      <c r="E6" s="12">
        <f>'Segmental forecast'!E8</f>
        <v>160</v>
      </c>
      <c r="F6" s="12">
        <f>'Segmental forecast'!F8</f>
        <v>149</v>
      </c>
      <c r="G6" s="12">
        <f>'Segmental forecast'!G8</f>
        <v>148</v>
      </c>
      <c r="H6" s="12">
        <f>'Segmental forecast'!H8</f>
        <v>130</v>
      </c>
      <c r="I6" s="12">
        <f>'Segmental forecast'!I8</f>
        <v>124</v>
      </c>
      <c r="J6" s="12">
        <f t="shared" ref="J6:N6" si="6">I6*(1+I4)</f>
        <v>130.0471507</v>
      </c>
      <c r="K6" s="12">
        <f t="shared" si="6"/>
        <v>136.389205</v>
      </c>
      <c r="L6" s="12">
        <f t="shared" si="6"/>
        <v>143.0405444</v>
      </c>
      <c r="M6" s="12">
        <f t="shared" si="6"/>
        <v>150.0162519</v>
      </c>
      <c r="N6" s="12">
        <f t="shared" si="6"/>
        <v>157.3321462</v>
      </c>
      <c r="O6" s="63" t="s">
        <v>165</v>
      </c>
      <c r="P6" s="3"/>
      <c r="Q6" s="3"/>
      <c r="R6" s="3"/>
      <c r="S6" s="3"/>
      <c r="T6" s="3"/>
      <c r="U6" s="3"/>
      <c r="V6" s="3"/>
      <c r="W6" s="3"/>
      <c r="X6" s="3"/>
      <c r="Y6" s="3"/>
      <c r="Z6" s="3"/>
    </row>
    <row r="7" ht="14.25" customHeight="1">
      <c r="A7" s="16" t="s">
        <v>150</v>
      </c>
      <c r="B7" s="17">
        <f>'Segmental forecast'!B11</f>
        <v>3645</v>
      </c>
      <c r="C7" s="17">
        <f>'Segmental forecast'!C11</f>
        <v>3763</v>
      </c>
      <c r="D7" s="17">
        <f>'Segmental forecast'!D11</f>
        <v>3875</v>
      </c>
      <c r="E7" s="17">
        <f>'Segmental forecast'!E11</f>
        <v>3600</v>
      </c>
      <c r="F7" s="17">
        <f>'Segmental forecast'!F11</f>
        <v>3925</v>
      </c>
      <c r="G7" s="17">
        <f>'Segmental forecast'!G11</f>
        <v>2899</v>
      </c>
      <c r="H7" s="17">
        <f>'Segmental forecast'!H11</f>
        <v>5089</v>
      </c>
      <c r="I7" s="17">
        <f>'Segmental forecast'!I11</f>
        <v>5114</v>
      </c>
      <c r="J7" s="17">
        <f t="shared" ref="J7:N7" si="7">I7*(1+I4)</f>
        <v>5363.396201</v>
      </c>
      <c r="K7" s="17">
        <f t="shared" si="7"/>
        <v>5624.954793</v>
      </c>
      <c r="L7" s="17">
        <f t="shared" si="7"/>
        <v>5899.268902</v>
      </c>
      <c r="M7" s="17">
        <f t="shared" si="7"/>
        <v>6186.960582</v>
      </c>
      <c r="N7" s="17">
        <f t="shared" si="7"/>
        <v>6488.682222</v>
      </c>
      <c r="O7" s="3"/>
      <c r="P7" s="3"/>
      <c r="Q7" s="3"/>
      <c r="R7" s="3"/>
      <c r="S7" s="3"/>
      <c r="T7" s="3"/>
      <c r="U7" s="3"/>
      <c r="V7" s="3"/>
      <c r="W7" s="3"/>
      <c r="X7" s="3"/>
      <c r="Y7" s="3"/>
      <c r="Z7" s="3"/>
    </row>
    <row r="8" ht="14.25" customHeight="1">
      <c r="A8" s="54" t="s">
        <v>143</v>
      </c>
      <c r="B8" s="62" t="str">
        <f>+IFERROR(B7/Historicals!K10-1,"nm")</f>
        <v>nm</v>
      </c>
      <c r="C8" s="62">
        <f t="shared" ref="C8:N8" si="8">+IFERROR(C7/B7-1,"nm")</f>
        <v>0.03237311385</v>
      </c>
      <c r="D8" s="62">
        <f t="shared" si="8"/>
        <v>0.02976348658</v>
      </c>
      <c r="E8" s="62">
        <f t="shared" si="8"/>
        <v>-0.07096774194</v>
      </c>
      <c r="F8" s="62">
        <f t="shared" si="8"/>
        <v>0.09027777778</v>
      </c>
      <c r="G8" s="62">
        <f t="shared" si="8"/>
        <v>-0.2614012739</v>
      </c>
      <c r="H8" s="62">
        <f t="shared" si="8"/>
        <v>0.7554329079</v>
      </c>
      <c r="I8" s="62">
        <f t="shared" si="8"/>
        <v>0.004912556494</v>
      </c>
      <c r="J8" s="62">
        <f t="shared" si="8"/>
        <v>0.04876734474</v>
      </c>
      <c r="K8" s="62">
        <f t="shared" si="8"/>
        <v>0.04876734474</v>
      </c>
      <c r="L8" s="62">
        <f t="shared" si="8"/>
        <v>0.04876734474</v>
      </c>
      <c r="M8" s="62">
        <f t="shared" si="8"/>
        <v>0.04876734474</v>
      </c>
      <c r="N8" s="62">
        <f t="shared" si="8"/>
        <v>0.04876734474</v>
      </c>
      <c r="O8" s="63" t="s">
        <v>166</v>
      </c>
      <c r="P8" s="3"/>
      <c r="Q8" s="3"/>
      <c r="R8" s="3"/>
      <c r="S8" s="3"/>
      <c r="T8" s="3"/>
      <c r="U8" s="3"/>
      <c r="V8" s="3"/>
      <c r="W8" s="3"/>
      <c r="X8" s="3"/>
      <c r="Y8" s="3"/>
      <c r="Z8" s="3"/>
    </row>
    <row r="9" ht="14.25" customHeight="1">
      <c r="A9" s="54" t="s">
        <v>146</v>
      </c>
      <c r="B9" s="62">
        <f t="shared" ref="B9:N9" si="9">+IFERROR(B7/B$3,"nm")</f>
        <v>0.1191137545</v>
      </c>
      <c r="C9" s="62">
        <f t="shared" si="9"/>
        <v>0.1162280702</v>
      </c>
      <c r="D9" s="62">
        <f t="shared" si="9"/>
        <v>0.1128093159</v>
      </c>
      <c r="E9" s="62">
        <f t="shared" si="9"/>
        <v>0.09890925076</v>
      </c>
      <c r="F9" s="62">
        <f t="shared" si="9"/>
        <v>0.1003400056</v>
      </c>
      <c r="G9" s="62">
        <f t="shared" si="9"/>
        <v>0.07750715183</v>
      </c>
      <c r="H9" s="62">
        <f t="shared" si="9"/>
        <v>0.1142619785</v>
      </c>
      <c r="I9" s="62">
        <f t="shared" si="9"/>
        <v>0.1094840505</v>
      </c>
      <c r="J9" s="62">
        <f t="shared" si="9"/>
        <v>0.1094840505</v>
      </c>
      <c r="K9" s="62">
        <f t="shared" si="9"/>
        <v>0.1094840505</v>
      </c>
      <c r="L9" s="62">
        <f t="shared" si="9"/>
        <v>0.1094840505</v>
      </c>
      <c r="M9" s="62">
        <f t="shared" si="9"/>
        <v>0.1094840505</v>
      </c>
      <c r="N9" s="62">
        <f t="shared" si="9"/>
        <v>0.1094840505</v>
      </c>
      <c r="O9" s="3"/>
      <c r="P9" s="3"/>
      <c r="Q9" s="3"/>
      <c r="R9" s="3"/>
      <c r="S9" s="3"/>
      <c r="T9" s="3"/>
      <c r="U9" s="3"/>
      <c r="V9" s="3"/>
      <c r="W9" s="3"/>
      <c r="X9" s="3"/>
      <c r="Y9" s="3"/>
      <c r="Z9" s="3"/>
    </row>
    <row r="10" ht="14.25" customHeight="1">
      <c r="A10" s="4" t="s">
        <v>18</v>
      </c>
      <c r="B10" s="12">
        <f>+Historicals!B8</f>
        <v>28</v>
      </c>
      <c r="C10" s="12">
        <f>+Historicals!C8</f>
        <v>19</v>
      </c>
      <c r="D10" s="12">
        <f>+Historicals!D8</f>
        <v>59</v>
      </c>
      <c r="E10" s="12">
        <f>+Historicals!E8</f>
        <v>54</v>
      </c>
      <c r="F10" s="12">
        <f>+Historicals!F8</f>
        <v>49</v>
      </c>
      <c r="G10" s="12">
        <f>+Historicals!G8</f>
        <v>89</v>
      </c>
      <c r="H10" s="12">
        <f>+Historicals!H8</f>
        <v>262</v>
      </c>
      <c r="I10" s="12">
        <f>+Historicals!I8</f>
        <v>205</v>
      </c>
      <c r="J10" s="12">
        <f t="shared" ref="J10:N10" si="10">I10*(1+I4)</f>
        <v>214.9973057</v>
      </c>
      <c r="K10" s="12">
        <f t="shared" si="10"/>
        <v>225.4821534</v>
      </c>
      <c r="L10" s="12">
        <f t="shared" si="10"/>
        <v>236.4783193</v>
      </c>
      <c r="M10" s="12">
        <f t="shared" si="10"/>
        <v>248.010739</v>
      </c>
      <c r="N10" s="12">
        <f t="shared" si="10"/>
        <v>260.1055642</v>
      </c>
      <c r="O10" s="3"/>
      <c r="P10" s="3"/>
      <c r="Q10" s="3"/>
      <c r="R10" s="3"/>
      <c r="S10" s="3"/>
      <c r="T10" s="3"/>
      <c r="U10" s="3"/>
      <c r="V10" s="3"/>
      <c r="W10" s="3"/>
      <c r="X10" s="3"/>
      <c r="Y10" s="3"/>
      <c r="Z10" s="3"/>
    </row>
    <row r="11" ht="14.25" customHeight="1">
      <c r="A11" s="16" t="s">
        <v>167</v>
      </c>
      <c r="B11" s="17">
        <f>+Historicals!B10</f>
        <v>4205</v>
      </c>
      <c r="C11" s="17">
        <f>+Historicals!C10</f>
        <v>4623</v>
      </c>
      <c r="D11" s="17">
        <f>+Historicals!D10</f>
        <v>4886</v>
      </c>
      <c r="E11" s="17">
        <f>+Historicals!E10</f>
        <v>4325</v>
      </c>
      <c r="F11" s="17">
        <f>+Historicals!F10</f>
        <v>4801</v>
      </c>
      <c r="G11" s="17">
        <f>+Historicals!G10</f>
        <v>2887</v>
      </c>
      <c r="H11" s="17">
        <f>+Historicals!H10</f>
        <v>6661</v>
      </c>
      <c r="I11" s="17">
        <f>+Historicals!I10</f>
        <v>6651</v>
      </c>
      <c r="J11" s="17">
        <f t="shared" ref="J11:N11" si="11">I11*(1+I4)</f>
        <v>6975.35161</v>
      </c>
      <c r="K11" s="17">
        <f t="shared" si="11"/>
        <v>7315.520986</v>
      </c>
      <c r="L11" s="17">
        <f t="shared" si="11"/>
        <v>7672.27952</v>
      </c>
      <c r="M11" s="17">
        <f t="shared" si="11"/>
        <v>8046.436221</v>
      </c>
      <c r="N11" s="17">
        <f t="shared" si="11"/>
        <v>8438.83955</v>
      </c>
      <c r="O11" s="3"/>
      <c r="P11" s="3"/>
      <c r="Q11" s="3"/>
      <c r="R11" s="3"/>
      <c r="S11" s="3"/>
      <c r="T11" s="3"/>
      <c r="U11" s="3"/>
      <c r="V11" s="3"/>
      <c r="W11" s="3"/>
      <c r="X11" s="3"/>
      <c r="Y11" s="3"/>
      <c r="Z11" s="3"/>
    </row>
    <row r="12" ht="14.25" customHeight="1">
      <c r="A12" s="3" t="s">
        <v>21</v>
      </c>
      <c r="B12" s="12">
        <f>+Historicals!B11</f>
        <v>932</v>
      </c>
      <c r="C12" s="12">
        <f>+Historicals!C11</f>
        <v>863</v>
      </c>
      <c r="D12" s="12">
        <f>+Historicals!D11</f>
        <v>646</v>
      </c>
      <c r="E12" s="12">
        <f>+Historicals!E11</f>
        <v>2392</v>
      </c>
      <c r="F12" s="12">
        <f>+Historicals!F11</f>
        <v>772</v>
      </c>
      <c r="G12" s="12">
        <f>+Historicals!G11</f>
        <v>348</v>
      </c>
      <c r="H12" s="12">
        <f>+Historicals!H11</f>
        <v>934</v>
      </c>
      <c r="I12" s="12">
        <f>+Historicals!I11</f>
        <v>605</v>
      </c>
      <c r="J12" s="12">
        <f>I12*(1+O12)</f>
        <v>605</v>
      </c>
      <c r="K12" s="12">
        <f t="shared" ref="K12:N12" si="12">J12*(1+J4)</f>
        <v>634.5042436</v>
      </c>
      <c r="L12" s="12">
        <f t="shared" si="12"/>
        <v>665.4473308</v>
      </c>
      <c r="M12" s="12">
        <f t="shared" si="12"/>
        <v>697.8994301</v>
      </c>
      <c r="N12" s="12">
        <f t="shared" si="12"/>
        <v>731.9341322</v>
      </c>
      <c r="O12" s="3"/>
      <c r="P12" s="3"/>
      <c r="Q12" s="3"/>
      <c r="R12" s="3"/>
      <c r="S12" s="3"/>
      <c r="T12" s="3"/>
      <c r="U12" s="3"/>
      <c r="V12" s="3"/>
      <c r="W12" s="3"/>
      <c r="X12" s="3"/>
      <c r="Y12" s="3"/>
      <c r="Z12" s="3"/>
    </row>
    <row r="13" ht="14.25" customHeight="1">
      <c r="A13" s="54" t="s">
        <v>168</v>
      </c>
      <c r="B13" s="64">
        <f t="shared" ref="B13:N13" si="13">B12/B11</f>
        <v>0.2216409037</v>
      </c>
      <c r="C13" s="64">
        <f t="shared" si="13"/>
        <v>0.1866753191</v>
      </c>
      <c r="D13" s="64">
        <f t="shared" si="13"/>
        <v>0.1322144904</v>
      </c>
      <c r="E13" s="64">
        <f t="shared" si="13"/>
        <v>0.5530635838</v>
      </c>
      <c r="F13" s="64">
        <f t="shared" si="13"/>
        <v>0.1607998334</v>
      </c>
      <c r="G13" s="64">
        <f t="shared" si="13"/>
        <v>0.1205403533</v>
      </c>
      <c r="H13" s="64">
        <f t="shared" si="13"/>
        <v>0.1402191863</v>
      </c>
      <c r="I13" s="64">
        <f t="shared" si="13"/>
        <v>0.09096376485</v>
      </c>
      <c r="J13" s="64">
        <f t="shared" si="13"/>
        <v>0.08673397899</v>
      </c>
      <c r="K13" s="64">
        <f t="shared" si="13"/>
        <v>0.08673397899</v>
      </c>
      <c r="L13" s="64">
        <f t="shared" si="13"/>
        <v>0.08673397899</v>
      </c>
      <c r="M13" s="64">
        <f t="shared" si="13"/>
        <v>0.08673397899</v>
      </c>
      <c r="N13" s="64">
        <f t="shared" si="13"/>
        <v>0.08673397899</v>
      </c>
      <c r="O13" s="3"/>
      <c r="P13" s="3"/>
      <c r="Q13" s="3"/>
      <c r="R13" s="3"/>
      <c r="S13" s="3"/>
      <c r="T13" s="3"/>
      <c r="U13" s="3"/>
      <c r="V13" s="3"/>
      <c r="W13" s="3"/>
      <c r="X13" s="3"/>
      <c r="Y13" s="3"/>
      <c r="Z13" s="3"/>
    </row>
    <row r="14" ht="14.25" customHeight="1">
      <c r="A14" s="18" t="s">
        <v>169</v>
      </c>
      <c r="B14" s="65">
        <f t="shared" ref="B14:N14" si="14">B11-B12</f>
        <v>3273</v>
      </c>
      <c r="C14" s="65">
        <f t="shared" si="14"/>
        <v>3760</v>
      </c>
      <c r="D14" s="65">
        <f t="shared" si="14"/>
        <v>4240</v>
      </c>
      <c r="E14" s="65">
        <f t="shared" si="14"/>
        <v>1933</v>
      </c>
      <c r="F14" s="65">
        <f t="shared" si="14"/>
        <v>4029</v>
      </c>
      <c r="G14" s="65">
        <f t="shared" si="14"/>
        <v>2539</v>
      </c>
      <c r="H14" s="65">
        <f t="shared" si="14"/>
        <v>5727</v>
      </c>
      <c r="I14" s="65">
        <f t="shared" si="14"/>
        <v>6046</v>
      </c>
      <c r="J14" s="65">
        <f t="shared" si="14"/>
        <v>6370.35161</v>
      </c>
      <c r="K14" s="65">
        <f t="shared" si="14"/>
        <v>6681.016743</v>
      </c>
      <c r="L14" s="65">
        <f t="shared" si="14"/>
        <v>7006.83219</v>
      </c>
      <c r="M14" s="65">
        <f t="shared" si="14"/>
        <v>7348.536791</v>
      </c>
      <c r="N14" s="65">
        <f t="shared" si="14"/>
        <v>7706.905418</v>
      </c>
      <c r="O14" s="3"/>
      <c r="P14" s="3"/>
      <c r="Q14" s="3"/>
      <c r="R14" s="3"/>
      <c r="S14" s="3"/>
      <c r="T14" s="3"/>
      <c r="U14" s="3"/>
      <c r="V14" s="3"/>
      <c r="W14" s="3"/>
      <c r="X14" s="3"/>
      <c r="Y14" s="3"/>
      <c r="Z14" s="3"/>
    </row>
    <row r="15" ht="14.25" customHeight="1">
      <c r="A15" s="3" t="s">
        <v>170</v>
      </c>
      <c r="B15" s="22">
        <f>+Historicals!B18</f>
        <v>1768.8</v>
      </c>
      <c r="C15" s="22">
        <f>+Historicals!C18</f>
        <v>1742.5</v>
      </c>
      <c r="D15" s="22">
        <f>+Historicals!D18</f>
        <v>1692</v>
      </c>
      <c r="E15" s="22">
        <f>+Historicals!E18</f>
        <v>1659.1</v>
      </c>
      <c r="F15" s="22">
        <f>+Historicals!F18</f>
        <v>1618.4</v>
      </c>
      <c r="G15" s="22">
        <f>+Historicals!G18</f>
        <v>1591.6</v>
      </c>
      <c r="H15" s="22">
        <f>+Historicals!H18</f>
        <v>1609.4</v>
      </c>
      <c r="I15" s="22">
        <f>+Historicals!I18</f>
        <v>1610.8</v>
      </c>
      <c r="J15" s="9">
        <f t="shared" ref="J15:N15" si="15">+SUM(E15:I15)/5</f>
        <v>1617.86</v>
      </c>
      <c r="K15" s="9">
        <f t="shared" si="15"/>
        <v>1609.612</v>
      </c>
      <c r="L15" s="9">
        <f t="shared" si="15"/>
        <v>1607.8544</v>
      </c>
      <c r="M15" s="9">
        <f t="shared" si="15"/>
        <v>1611.10528</v>
      </c>
      <c r="N15" s="9">
        <f t="shared" si="15"/>
        <v>1611.446336</v>
      </c>
      <c r="O15" s="63" t="s">
        <v>171</v>
      </c>
      <c r="P15" s="3"/>
      <c r="Q15" s="3"/>
      <c r="R15" s="3"/>
      <c r="S15" s="3"/>
      <c r="T15" s="3"/>
      <c r="U15" s="3"/>
      <c r="V15" s="3"/>
      <c r="W15" s="3"/>
      <c r="X15" s="3"/>
      <c r="Y15" s="3"/>
      <c r="Z15" s="3"/>
    </row>
    <row r="16" ht="14.25" customHeight="1">
      <c r="A16" s="3" t="s">
        <v>172</v>
      </c>
      <c r="B16" s="66">
        <f>+Historicals!B14</f>
        <v>1.9</v>
      </c>
      <c r="C16" s="66">
        <f>+Historicals!C14</f>
        <v>2.21</v>
      </c>
      <c r="D16" s="66">
        <f>+Historicals!D14</f>
        <v>2.56</v>
      </c>
      <c r="E16" s="66">
        <f>+Historicals!E14</f>
        <v>1.19</v>
      </c>
      <c r="F16" s="66">
        <f>+Historicals!F14</f>
        <v>2.55</v>
      </c>
      <c r="G16" s="66">
        <f>+Historicals!G14</f>
        <v>1.63</v>
      </c>
      <c r="H16" s="66">
        <f>+Historicals!H14</f>
        <v>3.64</v>
      </c>
      <c r="I16" s="66">
        <f>+Historicals!I14</f>
        <v>3.83</v>
      </c>
      <c r="J16" s="66">
        <f t="shared" ref="J16:N16" si="16">I16*(1+5.2%)</f>
        <v>4.02916</v>
      </c>
      <c r="K16" s="66">
        <f t="shared" si="16"/>
        <v>4.23867632</v>
      </c>
      <c r="L16" s="66">
        <f t="shared" si="16"/>
        <v>4.459087489</v>
      </c>
      <c r="M16" s="66">
        <f t="shared" si="16"/>
        <v>4.690960038</v>
      </c>
      <c r="N16" s="66">
        <f t="shared" si="16"/>
        <v>4.93488996</v>
      </c>
      <c r="O16" s="3"/>
      <c r="P16" s="3"/>
      <c r="Q16" s="3"/>
      <c r="R16" s="3"/>
      <c r="S16" s="3"/>
      <c r="T16" s="3"/>
      <c r="U16" s="3"/>
      <c r="V16" s="3"/>
      <c r="W16" s="3"/>
      <c r="X16" s="3"/>
      <c r="Y16" s="3"/>
      <c r="Z16" s="3"/>
    </row>
    <row r="17" ht="14.25" customHeight="1">
      <c r="A17" s="3" t="s">
        <v>173</v>
      </c>
      <c r="B17" s="67">
        <f>ABS(Historicals!B18/Historicals!B90)</f>
        <v>0.698026835</v>
      </c>
      <c r="C17" s="67">
        <f>ABS(Historicals!C18/Historicals!C90)</f>
        <v>1.704990215</v>
      </c>
      <c r="D17" s="67">
        <f>ABS(Historicals!D18/Historicals!D90)</f>
        <v>1.493380406</v>
      </c>
      <c r="E17" s="67">
        <f>ABS(Historicals!E18/Historicals!E90)</f>
        <v>1.334754626</v>
      </c>
      <c r="F17" s="67">
        <f>ABS(Historicals!F18/Historicals!F90)</f>
        <v>1.215015015</v>
      </c>
      <c r="G17" s="67">
        <f>ABS(Historicals!G18/Historicals!G90)</f>
        <v>1.096143251</v>
      </c>
      <c r="H17" s="67">
        <f>ABS(Historicals!H18/Historicals!H90)</f>
        <v>0.9825396825</v>
      </c>
      <c r="I17" s="67">
        <f>ABS(Historicals!I18/Historicals!I90)</f>
        <v>0.8768644529</v>
      </c>
      <c r="J17" s="67">
        <f t="shared" ref="J17:N17" si="17">I17+(J18)</f>
        <v>0.7668113113</v>
      </c>
      <c r="K17" s="67">
        <f t="shared" si="17"/>
        <v>0.6557581697</v>
      </c>
      <c r="L17" s="67">
        <f t="shared" si="17"/>
        <v>0.546705028</v>
      </c>
      <c r="M17" s="67">
        <f t="shared" si="17"/>
        <v>0.4396518864</v>
      </c>
      <c r="N17" s="67">
        <f t="shared" si="17"/>
        <v>0.3345987448</v>
      </c>
      <c r="O17" s="3"/>
      <c r="P17" s="3"/>
      <c r="Q17" s="3"/>
      <c r="R17" s="3"/>
      <c r="S17" s="3"/>
      <c r="T17" s="3"/>
      <c r="U17" s="3"/>
      <c r="V17" s="3"/>
      <c r="W17" s="3"/>
      <c r="X17" s="3"/>
      <c r="Y17" s="3"/>
      <c r="Z17" s="3"/>
    </row>
    <row r="18" ht="14.25" customHeight="1">
      <c r="A18" s="54" t="s">
        <v>143</v>
      </c>
      <c r="B18" s="62" t="str">
        <f>+IFERROR(B17/Historicals!N24-1,"nm")</f>
        <v>nm</v>
      </c>
      <c r="C18" s="62">
        <f t="shared" ref="C18:I18" si="18">+IFERROR(C17/B17-1,"nm")</f>
        <v>1.442585485</v>
      </c>
      <c r="D18" s="62">
        <f t="shared" si="18"/>
        <v>-0.1241120373</v>
      </c>
      <c r="E18" s="62">
        <f t="shared" si="18"/>
        <v>-0.1062192724</v>
      </c>
      <c r="F18" s="62">
        <f t="shared" si="18"/>
        <v>-0.08970908103</v>
      </c>
      <c r="G18" s="62">
        <f t="shared" si="18"/>
        <v>-0.09783563401</v>
      </c>
      <c r="H18" s="62">
        <f t="shared" si="18"/>
        <v>-0.1036393447</v>
      </c>
      <c r="I18" s="62">
        <f t="shared" si="18"/>
        <v>-0.1075531416</v>
      </c>
      <c r="J18" s="62">
        <f>I18-(0.25%)</f>
        <v>-0.1100531416</v>
      </c>
      <c r="K18" s="62">
        <f>J18-(0.1%)</f>
        <v>-0.1110531416</v>
      </c>
      <c r="L18" s="62">
        <f t="shared" ref="L18:N18" si="19">K18+(0.2%)</f>
        <v>-0.1090531416</v>
      </c>
      <c r="M18" s="62">
        <f t="shared" si="19"/>
        <v>-0.1070531416</v>
      </c>
      <c r="N18" s="62">
        <f t="shared" si="19"/>
        <v>-0.1050531416</v>
      </c>
      <c r="O18" s="3"/>
      <c r="P18" s="3"/>
      <c r="Q18" s="3"/>
      <c r="R18" s="3"/>
      <c r="S18" s="3"/>
      <c r="T18" s="3"/>
      <c r="U18" s="3"/>
      <c r="V18" s="3"/>
      <c r="W18" s="3"/>
      <c r="X18" s="3"/>
      <c r="Y18" s="3"/>
      <c r="Z18" s="3"/>
    </row>
    <row r="19" ht="14.25" customHeight="1">
      <c r="A19" s="54" t="s">
        <v>174</v>
      </c>
      <c r="B19" s="64">
        <f t="shared" ref="B19:N19" si="20">B17/B16</f>
        <v>0.3673825448</v>
      </c>
      <c r="C19" s="64">
        <f t="shared" si="20"/>
        <v>0.7714887852</v>
      </c>
      <c r="D19" s="64">
        <f t="shared" si="20"/>
        <v>0.5833517211</v>
      </c>
      <c r="E19" s="64">
        <f t="shared" si="20"/>
        <v>1.121642543</v>
      </c>
      <c r="F19" s="64">
        <f t="shared" si="20"/>
        <v>0.4764764765</v>
      </c>
      <c r="G19" s="64">
        <f t="shared" si="20"/>
        <v>0.6724805219</v>
      </c>
      <c r="H19" s="64">
        <f t="shared" si="20"/>
        <v>0.2699284842</v>
      </c>
      <c r="I19" s="64">
        <f t="shared" si="20"/>
        <v>0.2289463324</v>
      </c>
      <c r="J19" s="64">
        <f t="shared" si="20"/>
        <v>0.1903154283</v>
      </c>
      <c r="K19" s="64">
        <f t="shared" si="20"/>
        <v>0.1547082438</v>
      </c>
      <c r="L19" s="64">
        <f t="shared" si="20"/>
        <v>0.1226046875</v>
      </c>
      <c r="M19" s="64">
        <f t="shared" si="20"/>
        <v>0.09372322144</v>
      </c>
      <c r="N19" s="64">
        <f t="shared" si="20"/>
        <v>0.06780267595</v>
      </c>
      <c r="O19" s="3"/>
      <c r="P19" s="3"/>
      <c r="Q19" s="3"/>
      <c r="R19" s="3"/>
      <c r="S19" s="3"/>
      <c r="T19" s="3"/>
      <c r="U19" s="3"/>
      <c r="V19" s="3"/>
      <c r="W19" s="3"/>
      <c r="X19" s="3"/>
      <c r="Y19" s="3"/>
      <c r="Z19" s="3"/>
    </row>
    <row r="20" ht="14.25" customHeight="1">
      <c r="A20" s="68" t="s">
        <v>175</v>
      </c>
      <c r="B20" s="52"/>
      <c r="C20" s="52"/>
      <c r="D20" s="52"/>
      <c r="E20" s="52"/>
      <c r="F20" s="52"/>
      <c r="G20" s="52"/>
      <c r="H20" s="52"/>
      <c r="I20" s="52"/>
      <c r="J20" s="52"/>
      <c r="K20" s="52"/>
      <c r="L20" s="52"/>
      <c r="M20" s="52"/>
      <c r="N20" s="52"/>
      <c r="O20" s="3"/>
      <c r="P20" s="3"/>
      <c r="Q20" s="3"/>
      <c r="R20" s="3"/>
      <c r="S20" s="3"/>
      <c r="T20" s="3"/>
      <c r="U20" s="3"/>
      <c r="V20" s="3"/>
      <c r="W20" s="3"/>
      <c r="X20" s="3"/>
      <c r="Y20" s="3"/>
      <c r="Z20" s="3"/>
    </row>
    <row r="21" ht="14.25" customHeight="1">
      <c r="A21" s="3" t="s">
        <v>176</v>
      </c>
      <c r="B21" s="22">
        <f>+Historicals!B25</f>
        <v>3852</v>
      </c>
      <c r="C21" s="22">
        <f>+Historicals!C25</f>
        <v>3138</v>
      </c>
      <c r="D21" s="22">
        <f>+Historicals!D25</f>
        <v>3808</v>
      </c>
      <c r="E21" s="22">
        <f>+Historicals!E25</f>
        <v>4249</v>
      </c>
      <c r="F21" s="22">
        <f>+Historicals!F25</f>
        <v>4466</v>
      </c>
      <c r="G21" s="22">
        <f>+Historicals!G25</f>
        <v>8348</v>
      </c>
      <c r="H21" s="22">
        <f>+Historicals!H25</f>
        <v>9889</v>
      </c>
      <c r="I21" s="22">
        <f>+Historicals!I25</f>
        <v>8574</v>
      </c>
      <c r="J21" s="9">
        <f t="shared" ref="J21:N21" si="21">I21*(1+0.9%)</f>
        <v>8651.166</v>
      </c>
      <c r="K21" s="9">
        <f t="shared" si="21"/>
        <v>8729.026494</v>
      </c>
      <c r="L21" s="9">
        <f t="shared" si="21"/>
        <v>8807.587732</v>
      </c>
      <c r="M21" s="9">
        <f t="shared" si="21"/>
        <v>8886.856022</v>
      </c>
      <c r="N21" s="9">
        <f t="shared" si="21"/>
        <v>8966.837726</v>
      </c>
      <c r="O21" s="3"/>
      <c r="P21" s="3"/>
      <c r="Q21" s="3"/>
      <c r="R21" s="3"/>
      <c r="S21" s="3"/>
      <c r="T21" s="3"/>
      <c r="U21" s="3"/>
      <c r="V21" s="3"/>
      <c r="W21" s="3"/>
      <c r="X21" s="3"/>
      <c r="Y21" s="3"/>
      <c r="Z21" s="3"/>
    </row>
    <row r="22" ht="14.25" customHeight="1">
      <c r="A22" s="3" t="s">
        <v>177</v>
      </c>
      <c r="B22" s="22">
        <f>+Historicals!B26</f>
        <v>2072</v>
      </c>
      <c r="C22" s="22">
        <f>+Historicals!C26</f>
        <v>2319</v>
      </c>
      <c r="D22" s="22">
        <f>+Historicals!D26</f>
        <v>2371</v>
      </c>
      <c r="E22" s="22">
        <f>+Historicals!E26</f>
        <v>996</v>
      </c>
      <c r="F22" s="22">
        <f>+Historicals!F26</f>
        <v>197</v>
      </c>
      <c r="G22" s="22">
        <f>+Historicals!G26</f>
        <v>439</v>
      </c>
      <c r="H22" s="22">
        <f>+Historicals!H26</f>
        <v>3587</v>
      </c>
      <c r="I22" s="22">
        <f>+Historicals!I26</f>
        <v>4423</v>
      </c>
      <c r="J22" s="9">
        <f t="shared" ref="J22:N22" si="22">+SUM(G22:I22)/3</f>
        <v>2816.333333</v>
      </c>
      <c r="K22" s="9">
        <f t="shared" si="22"/>
        <v>3608.777778</v>
      </c>
      <c r="L22" s="9">
        <f t="shared" si="22"/>
        <v>3616.037037</v>
      </c>
      <c r="M22" s="9">
        <f t="shared" si="22"/>
        <v>3347.049383</v>
      </c>
      <c r="N22" s="9">
        <f t="shared" si="22"/>
        <v>3523.954733</v>
      </c>
      <c r="O22" s="3"/>
      <c r="P22" s="3"/>
      <c r="Q22" s="3"/>
      <c r="R22" s="3"/>
      <c r="S22" s="3"/>
      <c r="T22" s="3"/>
      <c r="U22" s="3"/>
      <c r="V22" s="3"/>
      <c r="W22" s="3"/>
      <c r="X22" s="3"/>
      <c r="Y22" s="3"/>
      <c r="Z22" s="3"/>
    </row>
    <row r="23" ht="14.25" customHeight="1">
      <c r="A23" s="3" t="s">
        <v>178</v>
      </c>
      <c r="B23" s="12">
        <f>Historicals!B28+Historicals!B27-Historicals!B41</f>
        <v>5564</v>
      </c>
      <c r="C23" s="12">
        <f>Historicals!C28+Historicals!C27-Historicals!C41</f>
        <v>5888</v>
      </c>
      <c r="D23" s="12">
        <f>Historicals!D28+Historicals!D27-Historicals!D41</f>
        <v>6684</v>
      </c>
      <c r="E23" s="12">
        <f>Historicals!E28+Historicals!E27-Historicals!E41</f>
        <v>6480</v>
      </c>
      <c r="F23" s="12">
        <f>Historicals!F28+Historicals!F27-Historicals!F41</f>
        <v>7282</v>
      </c>
      <c r="G23" s="12">
        <f>Historicals!G28+Historicals!G27-Historicals!G41</f>
        <v>7868</v>
      </c>
      <c r="H23" s="12">
        <f>Historicals!H28+Historicals!H27-Historicals!H41</f>
        <v>8481</v>
      </c>
      <c r="I23" s="12">
        <f>Historicals!I28+Historicals!I27-Historicals!I41</f>
        <v>9729</v>
      </c>
      <c r="J23" s="12">
        <f t="shared" ref="J23:N23" si="23">I23*(1+8.5%)</f>
        <v>10555.965</v>
      </c>
      <c r="K23" s="12">
        <f t="shared" si="23"/>
        <v>11453.22203</v>
      </c>
      <c r="L23" s="12">
        <f t="shared" si="23"/>
        <v>12426.7459</v>
      </c>
      <c r="M23" s="12">
        <f t="shared" si="23"/>
        <v>13483.0193</v>
      </c>
      <c r="N23" s="12">
        <f t="shared" si="23"/>
        <v>14629.07594</v>
      </c>
      <c r="O23" s="63" t="s">
        <v>179</v>
      </c>
      <c r="P23" s="3"/>
      <c r="Q23" s="3"/>
      <c r="R23" s="3"/>
      <c r="S23" s="3"/>
      <c r="T23" s="3"/>
      <c r="U23" s="3"/>
      <c r="V23" s="3"/>
      <c r="W23" s="3"/>
      <c r="X23" s="3"/>
      <c r="Y23" s="3"/>
      <c r="Z23" s="3"/>
    </row>
    <row r="24" ht="14.25" customHeight="1">
      <c r="A24" s="54" t="s">
        <v>180</v>
      </c>
      <c r="B24" s="69">
        <f t="shared" ref="B24:N24" si="24">B23/B3</f>
        <v>0.1818241234</v>
      </c>
      <c r="C24" s="69">
        <f t="shared" si="24"/>
        <v>0.1818631085</v>
      </c>
      <c r="D24" s="69">
        <f t="shared" si="24"/>
        <v>0.1945851528</v>
      </c>
      <c r="E24" s="69">
        <f t="shared" si="24"/>
        <v>0.1780366514</v>
      </c>
      <c r="F24" s="69">
        <f t="shared" si="24"/>
        <v>0.1861594703</v>
      </c>
      <c r="G24" s="69">
        <f t="shared" si="24"/>
        <v>0.210357458</v>
      </c>
      <c r="H24" s="69">
        <f t="shared" si="24"/>
        <v>0.1904216624</v>
      </c>
      <c r="I24" s="69">
        <f t="shared" si="24"/>
        <v>0.2082851638</v>
      </c>
      <c r="J24" s="69">
        <f t="shared" si="24"/>
        <v>0.215480968</v>
      </c>
      <c r="K24" s="69">
        <f t="shared" si="24"/>
        <v>0.2229253719</v>
      </c>
      <c r="L24" s="69">
        <f t="shared" si="24"/>
        <v>0.2306269638</v>
      </c>
      <c r="M24" s="69">
        <f t="shared" si="24"/>
        <v>0.2385946292</v>
      </c>
      <c r="N24" s="69">
        <f t="shared" si="24"/>
        <v>0.2468375603</v>
      </c>
      <c r="O24" s="3"/>
      <c r="P24" s="3"/>
      <c r="Q24" s="3"/>
      <c r="R24" s="3"/>
      <c r="S24" s="3"/>
      <c r="T24" s="3"/>
      <c r="U24" s="3"/>
      <c r="V24" s="3"/>
      <c r="W24" s="3"/>
      <c r="X24" s="3"/>
      <c r="Y24" s="3"/>
      <c r="Z24" s="3"/>
    </row>
    <row r="25" ht="14.25" customHeight="1">
      <c r="A25" s="3" t="s">
        <v>181</v>
      </c>
      <c r="B25" s="9">
        <f>Historicals!B29</f>
        <v>1968</v>
      </c>
      <c r="C25" s="9">
        <f>Historicals!C29</f>
        <v>1489</v>
      </c>
      <c r="D25" s="9">
        <f>Historicals!D29</f>
        <v>1150</v>
      </c>
      <c r="E25" s="9">
        <f>Historicals!E29</f>
        <v>1130</v>
      </c>
      <c r="F25" s="9">
        <f>Historicals!F29</f>
        <v>1968</v>
      </c>
      <c r="G25" s="9">
        <f>Historicals!G29</f>
        <v>1653</v>
      </c>
      <c r="H25" s="9">
        <f>Historicals!H29</f>
        <v>1498</v>
      </c>
      <c r="I25" s="9">
        <f>Historicals!I29</f>
        <v>2129</v>
      </c>
      <c r="J25" s="9">
        <f>I25*(1+O25)</f>
        <v>2129</v>
      </c>
      <c r="K25" s="9">
        <f t="shared" ref="K25:N25" si="25">J25*(1+5.6%)</f>
        <v>2248.224</v>
      </c>
      <c r="L25" s="9">
        <f t="shared" si="25"/>
        <v>2374.124544</v>
      </c>
      <c r="M25" s="9">
        <f t="shared" si="25"/>
        <v>2507.075518</v>
      </c>
      <c r="N25" s="9">
        <f t="shared" si="25"/>
        <v>2647.471747</v>
      </c>
      <c r="O25" s="3"/>
      <c r="P25" s="3"/>
      <c r="Q25" s="3"/>
      <c r="R25" s="3"/>
      <c r="S25" s="3"/>
      <c r="T25" s="3"/>
      <c r="U25" s="3"/>
      <c r="V25" s="3"/>
      <c r="W25" s="3"/>
      <c r="X25" s="3"/>
      <c r="Y25" s="3"/>
      <c r="Z25" s="3"/>
    </row>
    <row r="26" ht="14.25" customHeight="1">
      <c r="A26" s="3" t="s">
        <v>182</v>
      </c>
      <c r="B26" s="22">
        <f>+Historicals!B31</f>
        <v>3011</v>
      </c>
      <c r="C26" s="22">
        <f>+Historicals!C31</f>
        <v>3520</v>
      </c>
      <c r="D26" s="22">
        <f>+Historicals!D31</f>
        <v>3989</v>
      </c>
      <c r="E26" s="22">
        <f>+Historicals!E31</f>
        <v>4454</v>
      </c>
      <c r="F26" s="22">
        <f>+Historicals!F31</f>
        <v>4744</v>
      </c>
      <c r="G26" s="22">
        <f>+Historicals!G31</f>
        <v>4866</v>
      </c>
      <c r="H26" s="22">
        <f>+Historicals!H31</f>
        <v>4904</v>
      </c>
      <c r="I26" s="22">
        <f>+Historicals!I31</f>
        <v>4791</v>
      </c>
      <c r="J26" s="9">
        <f t="shared" ref="J26:N26" si="26">I26*(1+7.1%)</f>
        <v>5131.161</v>
      </c>
      <c r="K26" s="9">
        <f t="shared" si="26"/>
        <v>5495.473431</v>
      </c>
      <c r="L26" s="9">
        <f t="shared" si="26"/>
        <v>5885.652045</v>
      </c>
      <c r="M26" s="9">
        <f t="shared" si="26"/>
        <v>6303.53334</v>
      </c>
      <c r="N26" s="9">
        <f t="shared" si="26"/>
        <v>6751.084207</v>
      </c>
      <c r="O26" s="3"/>
      <c r="P26" s="3"/>
      <c r="Q26" s="3"/>
      <c r="R26" s="3"/>
      <c r="S26" s="3"/>
      <c r="T26" s="3"/>
      <c r="U26" s="3"/>
      <c r="V26" s="3"/>
      <c r="W26" s="3"/>
      <c r="X26" s="3"/>
      <c r="Y26" s="3"/>
      <c r="Z26" s="3"/>
    </row>
    <row r="27" ht="14.25" customHeight="1">
      <c r="A27" s="3" t="s">
        <v>183</v>
      </c>
      <c r="B27" s="22">
        <f>+Historicals!B33</f>
        <v>281</v>
      </c>
      <c r="C27" s="22">
        <f>+Historicals!C33</f>
        <v>281</v>
      </c>
      <c r="D27" s="22">
        <f>+Historicals!D33</f>
        <v>283</v>
      </c>
      <c r="E27" s="22">
        <f>+Historicals!E33</f>
        <v>285</v>
      </c>
      <c r="F27" s="22">
        <f>+Historicals!F33</f>
        <v>283</v>
      </c>
      <c r="G27" s="22">
        <f>+Historicals!G33</f>
        <v>274</v>
      </c>
      <c r="H27" s="22">
        <f>+Historicals!H33</f>
        <v>269</v>
      </c>
      <c r="I27" s="22">
        <f>+Historicals!I33</f>
        <v>286</v>
      </c>
      <c r="J27" s="9">
        <f t="shared" ref="J27:N27" si="27">+SUM(B27:I27)/8</f>
        <v>280.25</v>
      </c>
      <c r="K27" s="9">
        <f t="shared" si="27"/>
        <v>280.15625</v>
      </c>
      <c r="L27" s="9">
        <f t="shared" si="27"/>
        <v>280.0507813</v>
      </c>
      <c r="M27" s="9">
        <f t="shared" si="27"/>
        <v>279.6821289</v>
      </c>
      <c r="N27" s="9">
        <f t="shared" si="27"/>
        <v>279.017395</v>
      </c>
      <c r="O27" s="63" t="s">
        <v>184</v>
      </c>
      <c r="P27" s="3"/>
      <c r="Q27" s="3"/>
      <c r="R27" s="3"/>
      <c r="S27" s="3"/>
      <c r="T27" s="3"/>
      <c r="U27" s="3"/>
      <c r="V27" s="3"/>
      <c r="W27" s="3"/>
      <c r="X27" s="3"/>
      <c r="Y27" s="3"/>
      <c r="Z27" s="3"/>
    </row>
    <row r="28" ht="14.25" customHeight="1">
      <c r="A28" s="3" t="s">
        <v>40</v>
      </c>
      <c r="B28" s="22">
        <f>+Historicals!B34</f>
        <v>131</v>
      </c>
      <c r="C28" s="22">
        <f>+Historicals!C34</f>
        <v>131</v>
      </c>
      <c r="D28" s="22">
        <f>+Historicals!D34</f>
        <v>139</v>
      </c>
      <c r="E28" s="22">
        <f>+Historicals!E34</f>
        <v>154</v>
      </c>
      <c r="F28" s="22">
        <f>+Historicals!F34</f>
        <v>154</v>
      </c>
      <c r="G28" s="22">
        <f>+Historicals!G34</f>
        <v>223</v>
      </c>
      <c r="H28" s="22">
        <f>+Historicals!H34</f>
        <v>242</v>
      </c>
      <c r="I28" s="22">
        <f>+Historicals!I34</f>
        <v>284</v>
      </c>
      <c r="J28" s="9">
        <f t="shared" ref="J28:N28" si="28">I28*(1+6.1%)</f>
        <v>301.324</v>
      </c>
      <c r="K28" s="9">
        <f t="shared" si="28"/>
        <v>319.704764</v>
      </c>
      <c r="L28" s="9">
        <f t="shared" si="28"/>
        <v>339.2067546</v>
      </c>
      <c r="M28" s="9">
        <f t="shared" si="28"/>
        <v>359.8983666</v>
      </c>
      <c r="N28" s="9">
        <f t="shared" si="28"/>
        <v>381.852167</v>
      </c>
      <c r="O28" s="3"/>
      <c r="P28" s="3"/>
      <c r="Q28" s="3"/>
      <c r="R28" s="3"/>
      <c r="S28" s="3"/>
      <c r="T28" s="3"/>
      <c r="U28" s="3"/>
      <c r="V28" s="3"/>
      <c r="W28" s="3"/>
      <c r="X28" s="3"/>
      <c r="Y28" s="3"/>
      <c r="Z28" s="3"/>
    </row>
    <row r="29" ht="14.25" customHeight="1">
      <c r="A29" s="4" t="s">
        <v>38</v>
      </c>
      <c r="B29" s="70"/>
      <c r="C29" s="70"/>
      <c r="D29" s="70"/>
      <c r="E29" s="70"/>
      <c r="F29" s="70"/>
      <c r="G29" s="22">
        <f>+Historicals!G32</f>
        <v>3097</v>
      </c>
      <c r="H29" s="22">
        <f>+Historicals!H32</f>
        <v>3113</v>
      </c>
      <c r="I29" s="22">
        <f>+Historicals!I32</f>
        <v>2926</v>
      </c>
      <c r="J29" s="9">
        <f t="shared" ref="J29:N29" si="29">+SUM(G29:I29)/3</f>
        <v>3045.333333</v>
      </c>
      <c r="K29" s="9">
        <f t="shared" si="29"/>
        <v>3028.111111</v>
      </c>
      <c r="L29" s="9">
        <f t="shared" si="29"/>
        <v>2999.814815</v>
      </c>
      <c r="M29" s="9">
        <f t="shared" si="29"/>
        <v>3024.419753</v>
      </c>
      <c r="N29" s="9">
        <f t="shared" si="29"/>
        <v>3017.44856</v>
      </c>
      <c r="O29" s="3"/>
      <c r="P29" s="3"/>
      <c r="Q29" s="3"/>
      <c r="R29" s="3"/>
      <c r="S29" s="3"/>
      <c r="T29" s="3"/>
      <c r="U29" s="3"/>
      <c r="V29" s="3"/>
      <c r="W29" s="3"/>
      <c r="X29" s="3"/>
      <c r="Y29" s="3"/>
      <c r="Z29" s="3"/>
    </row>
    <row r="30" ht="14.25" customHeight="1">
      <c r="A30" s="3" t="s">
        <v>185</v>
      </c>
      <c r="B30" s="22">
        <f>+Historicals!B35</f>
        <v>2587</v>
      </c>
      <c r="C30" s="22">
        <f>+Historicals!C35</f>
        <v>2439</v>
      </c>
      <c r="D30" s="22">
        <f>+Historicals!D35</f>
        <v>2787</v>
      </c>
      <c r="E30" s="22">
        <f>+Historicals!E35</f>
        <v>2509</v>
      </c>
      <c r="F30" s="22">
        <f>+Historicals!F35</f>
        <v>2011</v>
      </c>
      <c r="G30" s="22">
        <f>+Historicals!G35</f>
        <v>2326</v>
      </c>
      <c r="H30" s="22">
        <f>+Historicals!H35</f>
        <v>2921</v>
      </c>
      <c r="I30" s="22">
        <f>+Historicals!I35</f>
        <v>3821</v>
      </c>
      <c r="J30" s="9">
        <f t="shared" ref="J30:N30" si="30">I30*(1+6.3%)</f>
        <v>4061.723</v>
      </c>
      <c r="K30" s="9">
        <f t="shared" si="30"/>
        <v>4317.611549</v>
      </c>
      <c r="L30" s="9">
        <f t="shared" si="30"/>
        <v>4589.621077</v>
      </c>
      <c r="M30" s="9">
        <f t="shared" si="30"/>
        <v>4878.767204</v>
      </c>
      <c r="N30" s="9">
        <f t="shared" si="30"/>
        <v>5186.129538</v>
      </c>
      <c r="O30" s="3"/>
      <c r="P30" s="3"/>
      <c r="Q30" s="3"/>
      <c r="R30" s="3"/>
      <c r="S30" s="3"/>
      <c r="T30" s="3"/>
      <c r="U30" s="3"/>
      <c r="V30" s="3"/>
      <c r="W30" s="3"/>
      <c r="X30" s="3"/>
      <c r="Y30" s="3"/>
      <c r="Z30" s="3"/>
    </row>
    <row r="31" ht="14.25" customHeight="1">
      <c r="A31" s="18" t="s">
        <v>186</v>
      </c>
      <c r="B31" s="71">
        <f>B21+B25+B26+B27+B28+B29+B30+B22+B23</f>
        <v>19466</v>
      </c>
      <c r="C31" s="71">
        <f t="shared" ref="C31:N31" si="31">C21+C25+C26+C27+C28+C29+C30+C23+C22</f>
        <v>19205</v>
      </c>
      <c r="D31" s="71">
        <f t="shared" si="31"/>
        <v>21211</v>
      </c>
      <c r="E31" s="71">
        <f t="shared" si="31"/>
        <v>20257</v>
      </c>
      <c r="F31" s="71">
        <f t="shared" si="31"/>
        <v>21105</v>
      </c>
      <c r="G31" s="71">
        <f t="shared" si="31"/>
        <v>29094</v>
      </c>
      <c r="H31" s="71">
        <f t="shared" si="31"/>
        <v>34904</v>
      </c>
      <c r="I31" s="71">
        <f t="shared" si="31"/>
        <v>36963</v>
      </c>
      <c r="J31" s="71">
        <f t="shared" si="31"/>
        <v>36972.25567</v>
      </c>
      <c r="K31" s="71">
        <f t="shared" si="31"/>
        <v>39480.3074</v>
      </c>
      <c r="L31" s="71">
        <f t="shared" si="31"/>
        <v>41318.84068</v>
      </c>
      <c r="M31" s="71">
        <f t="shared" si="31"/>
        <v>43070.30101</v>
      </c>
      <c r="N31" s="71">
        <f t="shared" si="31"/>
        <v>45382.87201</v>
      </c>
      <c r="O31" s="3"/>
      <c r="P31" s="3"/>
      <c r="Q31" s="3"/>
      <c r="R31" s="3"/>
      <c r="S31" s="3"/>
      <c r="T31" s="3"/>
      <c r="U31" s="3"/>
      <c r="V31" s="3"/>
      <c r="W31" s="3"/>
      <c r="X31" s="3"/>
      <c r="Y31" s="3"/>
      <c r="Z31" s="3"/>
    </row>
    <row r="32" ht="14.25" customHeight="1">
      <c r="A32" s="3" t="s">
        <v>187</v>
      </c>
      <c r="B32" s="22">
        <f t="shared" ref="B32:N32" si="32">B34+B33</f>
        <v>181</v>
      </c>
      <c r="C32" s="22">
        <f t="shared" si="32"/>
        <v>45</v>
      </c>
      <c r="D32" s="22">
        <f t="shared" si="32"/>
        <v>331</v>
      </c>
      <c r="E32" s="22">
        <f t="shared" si="32"/>
        <v>342</v>
      </c>
      <c r="F32" s="22">
        <f t="shared" si="32"/>
        <v>15</v>
      </c>
      <c r="G32" s="22">
        <f t="shared" si="32"/>
        <v>251</v>
      </c>
      <c r="H32" s="22">
        <f t="shared" si="32"/>
        <v>2</v>
      </c>
      <c r="I32" s="22">
        <f t="shared" si="32"/>
        <v>510</v>
      </c>
      <c r="J32" s="22">
        <f t="shared" si="32"/>
        <v>510</v>
      </c>
      <c r="K32" s="22">
        <f t="shared" si="32"/>
        <v>510</v>
      </c>
      <c r="L32" s="22">
        <f t="shared" si="32"/>
        <v>510</v>
      </c>
      <c r="M32" s="22">
        <f t="shared" si="32"/>
        <v>510</v>
      </c>
      <c r="N32" s="22">
        <f t="shared" si="32"/>
        <v>510</v>
      </c>
      <c r="O32" s="3"/>
      <c r="P32" s="3"/>
      <c r="Q32" s="3"/>
      <c r="R32" s="3"/>
      <c r="S32" s="3"/>
      <c r="T32" s="3"/>
      <c r="U32" s="3"/>
      <c r="V32" s="3"/>
      <c r="W32" s="3"/>
      <c r="X32" s="3"/>
      <c r="Y32" s="3"/>
      <c r="Z32" s="3"/>
    </row>
    <row r="33" ht="14.25" customHeight="1">
      <c r="A33" s="4" t="s">
        <v>45</v>
      </c>
      <c r="B33" s="22">
        <f>+Historicals!B39</f>
        <v>107</v>
      </c>
      <c r="C33" s="22">
        <f>+Historicals!C39</f>
        <v>44</v>
      </c>
      <c r="D33" s="22">
        <f>+Historicals!D39</f>
        <v>6</v>
      </c>
      <c r="E33" s="22">
        <f>+Historicals!E39</f>
        <v>6</v>
      </c>
      <c r="F33" s="22">
        <f>+Historicals!F39</f>
        <v>6</v>
      </c>
      <c r="G33" s="22">
        <f>+Historicals!G39</f>
        <v>3</v>
      </c>
      <c r="H33" s="22">
        <f>+Historicals!H39</f>
        <v>0</v>
      </c>
      <c r="I33" s="22">
        <f>+Historicals!I39</f>
        <v>500</v>
      </c>
      <c r="J33" s="9">
        <f t="shared" ref="J33:N33" si="33">I33</f>
        <v>500</v>
      </c>
      <c r="K33" s="9">
        <f t="shared" si="33"/>
        <v>500</v>
      </c>
      <c r="L33" s="9">
        <f t="shared" si="33"/>
        <v>500</v>
      </c>
      <c r="M33" s="9">
        <f t="shared" si="33"/>
        <v>500</v>
      </c>
      <c r="N33" s="9">
        <f t="shared" si="33"/>
        <v>500</v>
      </c>
      <c r="O33" s="3"/>
      <c r="P33" s="3"/>
      <c r="Q33" s="3"/>
      <c r="R33" s="3"/>
      <c r="S33" s="3"/>
      <c r="T33" s="3"/>
      <c r="U33" s="3"/>
      <c r="V33" s="3"/>
      <c r="W33" s="3"/>
      <c r="X33" s="3"/>
      <c r="Y33" s="3"/>
      <c r="Z33" s="3"/>
    </row>
    <row r="34" ht="14.25" customHeight="1">
      <c r="A34" s="4" t="s">
        <v>46</v>
      </c>
      <c r="B34" s="22">
        <f>+Historicals!B40</f>
        <v>74</v>
      </c>
      <c r="C34" s="22">
        <f>+Historicals!C40</f>
        <v>1</v>
      </c>
      <c r="D34" s="22">
        <f>+Historicals!D40</f>
        <v>325</v>
      </c>
      <c r="E34" s="22">
        <f>+Historicals!E40</f>
        <v>336</v>
      </c>
      <c r="F34" s="22">
        <f>+Historicals!F40</f>
        <v>9</v>
      </c>
      <c r="G34" s="22">
        <f>+Historicals!G40</f>
        <v>248</v>
      </c>
      <c r="H34" s="22">
        <f>+Historicals!H40</f>
        <v>2</v>
      </c>
      <c r="I34" s="22">
        <f>+Historicals!I40</f>
        <v>10</v>
      </c>
      <c r="J34" s="9">
        <f t="shared" ref="J34:N34" si="34">I34</f>
        <v>10</v>
      </c>
      <c r="K34" s="9">
        <f t="shared" si="34"/>
        <v>10</v>
      </c>
      <c r="L34" s="9">
        <f t="shared" si="34"/>
        <v>10</v>
      </c>
      <c r="M34" s="9">
        <f t="shared" si="34"/>
        <v>10</v>
      </c>
      <c r="N34" s="9">
        <f t="shared" si="34"/>
        <v>10</v>
      </c>
      <c r="O34" s="3"/>
      <c r="P34" s="3"/>
      <c r="Q34" s="3"/>
      <c r="R34" s="3"/>
      <c r="S34" s="3"/>
      <c r="T34" s="3"/>
      <c r="U34" s="3"/>
      <c r="V34" s="3"/>
      <c r="W34" s="3"/>
      <c r="X34" s="3"/>
      <c r="Y34" s="3"/>
      <c r="Z34" s="3"/>
    </row>
    <row r="35" ht="14.25" customHeight="1">
      <c r="A35" s="3" t="s">
        <v>188</v>
      </c>
      <c r="B35" s="9">
        <f>Historicals!B48+Historicals!B44+Historicals!B43+Historicals!B42</f>
        <v>5499</v>
      </c>
      <c r="C35" s="9">
        <f>Historicals!C48+Historicals!C44+Historicals!C43+Historicals!C42</f>
        <v>4892</v>
      </c>
      <c r="D35" s="9">
        <f>Historicals!D48+Historicals!D44+Historicals!D43+Historicals!D42</f>
        <v>5002</v>
      </c>
      <c r="E35" s="9">
        <f>Historicals!E48+Historicals!E44+Historicals!E43+Historicals!E42</f>
        <v>6635</v>
      </c>
      <c r="F35" s="9">
        <f>Historicals!F48+Historicals!F44+Historicals!F43+Historicals!F42</f>
        <v>8586</v>
      </c>
      <c r="G35" s="9">
        <f>Historicals!G48+Historicals!G44+Historicals!G43+Historicals!G42</f>
        <v>8469</v>
      </c>
      <c r="H35" s="9">
        <f>Historicals!H48+Historicals!H44+Historicals!H43+Historicals!H42</f>
        <v>9791</v>
      </c>
      <c r="I35" s="9">
        <f>Historicals!I48+Historicals!I44+Historicals!I43+Historicals!I42</f>
        <v>9475</v>
      </c>
      <c r="J35" s="9">
        <f>I35*(1-W35)</f>
        <v>9475</v>
      </c>
      <c r="K35" s="9">
        <f>J35*(1+O35)</f>
        <v>9475</v>
      </c>
      <c r="L35" s="9">
        <f>K35*(1+O35)</f>
        <v>9475</v>
      </c>
      <c r="M35" s="9">
        <f>L35*(1+O35)</f>
        <v>9475</v>
      </c>
      <c r="N35" s="9">
        <f>M35*(1+O35)</f>
        <v>9475</v>
      </c>
      <c r="O35" s="3"/>
      <c r="P35" s="3"/>
      <c r="Q35" s="3"/>
      <c r="R35" s="3"/>
      <c r="S35" s="3"/>
      <c r="T35" s="3"/>
      <c r="U35" s="3"/>
      <c r="V35" s="3"/>
      <c r="W35" s="3"/>
      <c r="X35" s="3"/>
      <c r="Y35" s="3"/>
      <c r="Z35" s="3"/>
    </row>
    <row r="36" ht="14.25" customHeight="1">
      <c r="A36" s="3" t="s">
        <v>52</v>
      </c>
      <c r="B36" s="22">
        <f>+Historicals!B46</f>
        <v>1079</v>
      </c>
      <c r="C36" s="22">
        <f>+Historicals!C46</f>
        <v>2010</v>
      </c>
      <c r="D36" s="22">
        <f>+Historicals!D46</f>
        <v>3471</v>
      </c>
      <c r="E36" s="22">
        <f>+Historicals!E46</f>
        <v>3468</v>
      </c>
      <c r="F36" s="22">
        <f>+Historicals!F46</f>
        <v>3464</v>
      </c>
      <c r="G36" s="22">
        <f>+Historicals!G46</f>
        <v>9406</v>
      </c>
      <c r="H36" s="22">
        <f>+Historicals!H46</f>
        <v>9413</v>
      </c>
      <c r="I36" s="22">
        <f>+Historicals!I46</f>
        <v>8920</v>
      </c>
      <c r="J36" s="9">
        <f t="shared" ref="J36:N36" si="35">I36</f>
        <v>8920</v>
      </c>
      <c r="K36" s="9">
        <f t="shared" si="35"/>
        <v>8920</v>
      </c>
      <c r="L36" s="9">
        <f t="shared" si="35"/>
        <v>8920</v>
      </c>
      <c r="M36" s="9">
        <f t="shared" si="35"/>
        <v>8920</v>
      </c>
      <c r="N36" s="9">
        <f t="shared" si="35"/>
        <v>8920</v>
      </c>
      <c r="O36" s="3"/>
      <c r="P36" s="3"/>
      <c r="Q36" s="3"/>
      <c r="R36" s="3"/>
      <c r="S36" s="3"/>
      <c r="T36" s="3"/>
      <c r="U36" s="3"/>
      <c r="V36" s="3"/>
      <c r="W36" s="3"/>
      <c r="X36" s="3"/>
      <c r="Y36" s="3"/>
      <c r="Z36" s="3"/>
    </row>
    <row r="37" ht="14.25" customHeight="1">
      <c r="A37" s="4" t="s">
        <v>53</v>
      </c>
      <c r="B37" s="70"/>
      <c r="C37" s="70"/>
      <c r="D37" s="70"/>
      <c r="E37" s="70"/>
      <c r="F37" s="70"/>
      <c r="G37" s="22">
        <f>+Historicals!G47</f>
        <v>2913</v>
      </c>
      <c r="H37" s="22">
        <f>+Historicals!H47</f>
        <v>2931</v>
      </c>
      <c r="I37" s="22">
        <f>+Historicals!I47</f>
        <v>2777</v>
      </c>
      <c r="J37" s="9">
        <f t="shared" ref="J37:L37" si="36">I37</f>
        <v>2777</v>
      </c>
      <c r="K37" s="9">
        <f t="shared" si="36"/>
        <v>2777</v>
      </c>
      <c r="L37" s="9">
        <f t="shared" si="36"/>
        <v>2777</v>
      </c>
      <c r="M37" s="9">
        <f t="shared" ref="M37:N37" si="37">+SUM(J37:L37)/3</f>
        <v>2777</v>
      </c>
      <c r="N37" s="9">
        <f t="shared" si="37"/>
        <v>2777</v>
      </c>
      <c r="O37" s="3"/>
      <c r="P37" s="3"/>
      <c r="Q37" s="3"/>
      <c r="R37" s="3"/>
      <c r="S37" s="3"/>
      <c r="T37" s="3"/>
      <c r="U37" s="3"/>
      <c r="V37" s="3"/>
      <c r="W37" s="3"/>
      <c r="X37" s="3"/>
      <c r="Y37" s="3"/>
      <c r="Z37" s="3"/>
    </row>
    <row r="38" ht="14.25" customHeight="1">
      <c r="A38" s="3" t="s">
        <v>189</v>
      </c>
      <c r="B38" s="30"/>
      <c r="C38" s="30"/>
      <c r="D38" s="30"/>
      <c r="E38" s="30"/>
      <c r="F38" s="30"/>
      <c r="G38" s="30"/>
      <c r="H38" s="30"/>
      <c r="I38" s="30"/>
      <c r="J38" s="29"/>
      <c r="K38" s="29"/>
      <c r="L38" s="29"/>
      <c r="M38" s="29"/>
      <c r="N38" s="29"/>
      <c r="O38" s="3"/>
      <c r="P38" s="3"/>
      <c r="Q38" s="3"/>
      <c r="R38" s="3"/>
      <c r="S38" s="3"/>
      <c r="T38" s="3"/>
      <c r="U38" s="3"/>
      <c r="V38" s="3"/>
      <c r="W38" s="3"/>
      <c r="X38" s="3"/>
      <c r="Y38" s="3"/>
      <c r="Z38" s="3"/>
    </row>
    <row r="39" ht="14.25" customHeight="1">
      <c r="A39" s="3" t="s">
        <v>190</v>
      </c>
      <c r="B39" s="22">
        <f t="shared" ref="B39:N39" si="38">B40+B41+B42+B43</f>
        <v>33061</v>
      </c>
      <c r="C39" s="22">
        <f t="shared" si="38"/>
        <v>32205</v>
      </c>
      <c r="D39" s="22">
        <f t="shared" si="38"/>
        <v>32038</v>
      </c>
      <c r="E39" s="22">
        <f t="shared" si="38"/>
        <v>33523</v>
      </c>
      <c r="F39" s="22">
        <f t="shared" si="38"/>
        <v>37097</v>
      </c>
      <c r="G39" s="22">
        <f t="shared" si="38"/>
        <v>55463</v>
      </c>
      <c r="H39" s="22">
        <f t="shared" si="38"/>
        <v>63698</v>
      </c>
      <c r="I39" s="22">
        <f t="shared" si="38"/>
        <v>67173</v>
      </c>
      <c r="J39" s="22">
        <f t="shared" si="38"/>
        <v>74482.089</v>
      </c>
      <c r="K39" s="22">
        <f t="shared" si="38"/>
        <v>80570.60601</v>
      </c>
      <c r="L39" s="22">
        <f t="shared" si="38"/>
        <v>88019.07477</v>
      </c>
      <c r="M39" s="22">
        <f t="shared" si="38"/>
        <v>97099.47022</v>
      </c>
      <c r="N39" s="22">
        <f t="shared" si="38"/>
        <v>108903.5619</v>
      </c>
      <c r="O39" s="3"/>
      <c r="P39" s="3"/>
      <c r="Q39" s="3"/>
      <c r="R39" s="3"/>
      <c r="S39" s="3"/>
      <c r="T39" s="3"/>
      <c r="U39" s="3"/>
      <c r="V39" s="3"/>
      <c r="W39" s="3"/>
      <c r="X39" s="3"/>
      <c r="Y39" s="3"/>
      <c r="Z39" s="3"/>
    </row>
    <row r="40" ht="14.25" customHeight="1">
      <c r="A40" s="4" t="s">
        <v>191</v>
      </c>
      <c r="B40" s="22">
        <f>+Historicals!B54</f>
        <v>3</v>
      </c>
      <c r="C40" s="22">
        <f>+Historicals!C54</f>
        <v>3</v>
      </c>
      <c r="D40" s="22">
        <f>+Historicals!D54</f>
        <v>3</v>
      </c>
      <c r="E40" s="22">
        <f>+Historicals!E54</f>
        <v>3</v>
      </c>
      <c r="F40" s="22">
        <f>+Historicals!F54</f>
        <v>3</v>
      </c>
      <c r="G40" s="22">
        <f>+Historicals!G54</f>
        <v>3</v>
      </c>
      <c r="H40" s="22">
        <f>+Historicals!H54</f>
        <v>3</v>
      </c>
      <c r="I40" s="22">
        <f>+Historicals!I54</f>
        <v>3</v>
      </c>
      <c r="J40" s="9">
        <f t="shared" ref="J40:N40" si="39">I40</f>
        <v>3</v>
      </c>
      <c r="K40" s="9">
        <f t="shared" si="39"/>
        <v>3</v>
      </c>
      <c r="L40" s="9">
        <f t="shared" si="39"/>
        <v>3</v>
      </c>
      <c r="M40" s="9">
        <f t="shared" si="39"/>
        <v>3</v>
      </c>
      <c r="N40" s="9">
        <f t="shared" si="39"/>
        <v>3</v>
      </c>
      <c r="O40" s="3"/>
      <c r="P40" s="3"/>
      <c r="Q40" s="3"/>
      <c r="R40" s="3"/>
      <c r="S40" s="3"/>
      <c r="T40" s="3"/>
      <c r="U40" s="3"/>
      <c r="V40" s="3"/>
      <c r="W40" s="3"/>
      <c r="X40" s="3"/>
      <c r="Y40" s="3"/>
      <c r="Z40" s="3"/>
    </row>
    <row r="41" ht="14.25" customHeight="1">
      <c r="A41" s="4" t="s">
        <v>192</v>
      </c>
      <c r="B41" s="22">
        <f>+Historicals!B56</f>
        <v>1246</v>
      </c>
      <c r="C41" s="22">
        <f>+Historicals!C56</f>
        <v>318</v>
      </c>
      <c r="D41" s="22">
        <f>+Historicals!D56</f>
        <v>-213</v>
      </c>
      <c r="E41" s="22">
        <f>+Historicals!E56</f>
        <v>-92</v>
      </c>
      <c r="F41" s="9">
        <f>+Historicals!F56</f>
        <v>231</v>
      </c>
      <c r="G41" s="9">
        <f>+Historicals!G56</f>
        <v>-56</v>
      </c>
      <c r="H41" s="22">
        <f>+Historicals!H56</f>
        <v>-380</v>
      </c>
      <c r="I41" s="22">
        <f>+Historicals!I56</f>
        <v>318</v>
      </c>
      <c r="J41" s="9">
        <f t="shared" ref="J41:N41" si="40">+SUM(B41:I41)/8</f>
        <v>171.5</v>
      </c>
      <c r="K41" s="9">
        <f t="shared" si="40"/>
        <v>37.1875</v>
      </c>
      <c r="L41" s="9">
        <f t="shared" si="40"/>
        <v>2.0859375</v>
      </c>
      <c r="M41" s="9">
        <f t="shared" si="40"/>
        <v>28.97167969</v>
      </c>
      <c r="N41" s="9">
        <f t="shared" si="40"/>
        <v>44.09313965</v>
      </c>
      <c r="O41" s="3"/>
      <c r="P41" s="3"/>
      <c r="Q41" s="3"/>
      <c r="R41" s="3"/>
      <c r="S41" s="3"/>
      <c r="T41" s="3"/>
      <c r="U41" s="3"/>
      <c r="V41" s="3"/>
      <c r="W41" s="3"/>
      <c r="X41" s="3"/>
      <c r="Y41" s="3"/>
      <c r="Z41" s="3"/>
    </row>
    <row r="42" ht="14.25" customHeight="1">
      <c r="A42" s="4" t="s">
        <v>193</v>
      </c>
      <c r="B42" s="22">
        <f>+Historicals!B55</f>
        <v>6773</v>
      </c>
      <c r="C42" s="22">
        <f>+Historicals!C55</f>
        <v>7786</v>
      </c>
      <c r="D42" s="9">
        <f>+Historicals!D55</f>
        <v>5710</v>
      </c>
      <c r="E42" s="9">
        <f>+Historicals!E55</f>
        <v>6384</v>
      </c>
      <c r="F42" s="22">
        <f>+Historicals!F55</f>
        <v>7163</v>
      </c>
      <c r="G42" s="9">
        <f>+Historicals!G55</f>
        <v>8299</v>
      </c>
      <c r="H42" s="9">
        <f>+Historicals!H55</f>
        <v>9965</v>
      </c>
      <c r="I42" s="9">
        <f>+Historicals!I55</f>
        <v>11484</v>
      </c>
      <c r="J42" s="9">
        <f t="shared" ref="J42:N42" si="41">+SUM(C42:I42)/3</f>
        <v>18930.33333</v>
      </c>
      <c r="K42" s="9">
        <f t="shared" si="41"/>
        <v>22645.11111</v>
      </c>
      <c r="L42" s="9">
        <f t="shared" si="41"/>
        <v>28290.14815</v>
      </c>
      <c r="M42" s="9">
        <f t="shared" si="41"/>
        <v>35592.19753</v>
      </c>
      <c r="N42" s="9">
        <f t="shared" si="41"/>
        <v>45068.59671</v>
      </c>
      <c r="O42" s="3"/>
      <c r="P42" s="3"/>
      <c r="Q42" s="3"/>
      <c r="R42" s="3"/>
      <c r="S42" s="3"/>
      <c r="T42" s="3"/>
      <c r="U42" s="3"/>
      <c r="V42" s="3"/>
      <c r="W42" s="3"/>
      <c r="X42" s="3"/>
      <c r="Y42" s="3"/>
      <c r="Z42" s="3"/>
    </row>
    <row r="43" ht="14.25" customHeight="1">
      <c r="A43" s="18" t="s">
        <v>194</v>
      </c>
      <c r="B43" s="72">
        <f t="shared" ref="B43:F43" si="42">B38+B35+B34+B31</f>
        <v>25039</v>
      </c>
      <c r="C43" s="72">
        <f t="shared" si="42"/>
        <v>24098</v>
      </c>
      <c r="D43" s="72">
        <f t="shared" si="42"/>
        <v>26538</v>
      </c>
      <c r="E43" s="72">
        <f t="shared" si="42"/>
        <v>27228</v>
      </c>
      <c r="F43" s="72">
        <f t="shared" si="42"/>
        <v>29700</v>
      </c>
      <c r="G43" s="72">
        <f t="shared" ref="G43:N43" si="43">G38+G36+G35+G34+G31</f>
        <v>47217</v>
      </c>
      <c r="H43" s="72">
        <f t="shared" si="43"/>
        <v>54110</v>
      </c>
      <c r="I43" s="72">
        <f t="shared" si="43"/>
        <v>55368</v>
      </c>
      <c r="J43" s="72">
        <f t="shared" si="43"/>
        <v>55377.25567</v>
      </c>
      <c r="K43" s="72">
        <f t="shared" si="43"/>
        <v>57885.3074</v>
      </c>
      <c r="L43" s="72">
        <f t="shared" si="43"/>
        <v>59723.84068</v>
      </c>
      <c r="M43" s="72">
        <f t="shared" si="43"/>
        <v>61475.30101</v>
      </c>
      <c r="N43" s="72">
        <f t="shared" si="43"/>
        <v>63787.87201</v>
      </c>
      <c r="O43" s="3"/>
      <c r="P43" s="3"/>
      <c r="Q43" s="3"/>
      <c r="R43" s="3"/>
      <c r="S43" s="3"/>
      <c r="T43" s="3"/>
      <c r="U43" s="3"/>
      <c r="V43" s="3"/>
      <c r="W43" s="3"/>
      <c r="X43" s="3"/>
      <c r="Y43" s="3"/>
      <c r="Z43" s="3"/>
    </row>
    <row r="44" ht="14.25" customHeight="1">
      <c r="A44" s="73" t="s">
        <v>195</v>
      </c>
      <c r="B44" s="73"/>
      <c r="C44" s="73"/>
      <c r="D44" s="73"/>
      <c r="E44" s="73"/>
      <c r="F44" s="73"/>
      <c r="G44" s="73"/>
      <c r="H44" s="73"/>
      <c r="I44" s="73"/>
      <c r="J44" s="73"/>
      <c r="K44" s="73"/>
      <c r="L44" s="73"/>
      <c r="M44" s="73"/>
      <c r="N44" s="73"/>
      <c r="O44" s="2"/>
      <c r="P44" s="2"/>
      <c r="Q44" s="2"/>
      <c r="R44" s="2"/>
      <c r="S44" s="2"/>
      <c r="T44" s="2"/>
      <c r="U44" s="2"/>
      <c r="V44" s="2"/>
      <c r="W44" s="2"/>
      <c r="X44" s="2"/>
      <c r="Y44" s="2"/>
      <c r="Z44" s="2"/>
    </row>
    <row r="45" ht="14.25" customHeight="1">
      <c r="A45" s="68" t="s">
        <v>196</v>
      </c>
      <c r="B45" s="52"/>
      <c r="C45" s="52"/>
      <c r="D45" s="52"/>
      <c r="E45" s="52"/>
      <c r="F45" s="52"/>
      <c r="G45" s="52"/>
      <c r="H45" s="52"/>
      <c r="I45" s="52"/>
      <c r="J45" s="52"/>
      <c r="K45" s="52"/>
      <c r="L45" s="52"/>
      <c r="M45" s="52"/>
      <c r="N45" s="52"/>
      <c r="O45" s="3"/>
      <c r="P45" s="3"/>
      <c r="Q45" s="3"/>
      <c r="R45" s="3"/>
      <c r="S45" s="3"/>
      <c r="T45" s="3"/>
      <c r="U45" s="3"/>
      <c r="V45" s="3"/>
      <c r="W45" s="3"/>
      <c r="X45" s="3"/>
      <c r="Y45" s="3"/>
      <c r="Z45" s="3"/>
    </row>
    <row r="46" ht="14.25" customHeight="1">
      <c r="A46" s="2" t="s">
        <v>150</v>
      </c>
      <c r="B46" s="17">
        <f t="shared" ref="B46:N46" si="44">B7</f>
        <v>3645</v>
      </c>
      <c r="C46" s="17">
        <f t="shared" si="44"/>
        <v>3763</v>
      </c>
      <c r="D46" s="17">
        <f t="shared" si="44"/>
        <v>3875</v>
      </c>
      <c r="E46" s="17">
        <f t="shared" si="44"/>
        <v>3600</v>
      </c>
      <c r="F46" s="17">
        <f t="shared" si="44"/>
        <v>3925</v>
      </c>
      <c r="G46" s="17">
        <f t="shared" si="44"/>
        <v>2899</v>
      </c>
      <c r="H46" s="17">
        <f t="shared" si="44"/>
        <v>5089</v>
      </c>
      <c r="I46" s="17">
        <f t="shared" si="44"/>
        <v>5114</v>
      </c>
      <c r="J46" s="12">
        <f t="shared" si="44"/>
        <v>5363.396201</v>
      </c>
      <c r="K46" s="12">
        <f t="shared" si="44"/>
        <v>5624.954793</v>
      </c>
      <c r="L46" s="12">
        <f t="shared" si="44"/>
        <v>5899.268902</v>
      </c>
      <c r="M46" s="12">
        <f t="shared" si="44"/>
        <v>6186.960582</v>
      </c>
      <c r="N46" s="12">
        <f t="shared" si="44"/>
        <v>6488.682222</v>
      </c>
      <c r="O46" s="63" t="s">
        <v>197</v>
      </c>
      <c r="P46" s="3"/>
      <c r="Q46" s="3"/>
      <c r="R46" s="3"/>
      <c r="S46" s="3"/>
      <c r="T46" s="3"/>
      <c r="U46" s="3"/>
      <c r="V46" s="3"/>
      <c r="W46" s="3"/>
      <c r="X46" s="3"/>
      <c r="Y46" s="3"/>
      <c r="Z46" s="3"/>
    </row>
    <row r="47" ht="14.25" customHeight="1">
      <c r="A47" s="3" t="s">
        <v>147</v>
      </c>
      <c r="B47" s="27">
        <f t="shared" ref="B47:N47" si="45">B6</f>
        <v>121</v>
      </c>
      <c r="C47" s="27">
        <f t="shared" si="45"/>
        <v>133</v>
      </c>
      <c r="D47" s="27">
        <f t="shared" si="45"/>
        <v>140</v>
      </c>
      <c r="E47" s="27">
        <f t="shared" si="45"/>
        <v>160</v>
      </c>
      <c r="F47" s="27">
        <f t="shared" si="45"/>
        <v>149</v>
      </c>
      <c r="G47" s="27">
        <f t="shared" si="45"/>
        <v>148</v>
      </c>
      <c r="H47" s="27">
        <f t="shared" si="45"/>
        <v>130</v>
      </c>
      <c r="I47" s="27">
        <f t="shared" si="45"/>
        <v>124</v>
      </c>
      <c r="J47" s="27">
        <f t="shared" si="45"/>
        <v>130.0471507</v>
      </c>
      <c r="K47" s="27">
        <f t="shared" si="45"/>
        <v>136.389205</v>
      </c>
      <c r="L47" s="27">
        <f t="shared" si="45"/>
        <v>143.0405444</v>
      </c>
      <c r="M47" s="27">
        <f t="shared" si="45"/>
        <v>150.0162519</v>
      </c>
      <c r="N47" s="27">
        <f t="shared" si="45"/>
        <v>157.3321462</v>
      </c>
      <c r="O47" s="3"/>
      <c r="P47" s="3"/>
      <c r="Q47" s="3"/>
      <c r="R47" s="3"/>
      <c r="S47" s="3"/>
      <c r="T47" s="3"/>
      <c r="U47" s="3"/>
      <c r="V47" s="3"/>
      <c r="W47" s="3"/>
      <c r="X47" s="3"/>
      <c r="Y47" s="3"/>
      <c r="Z47" s="3"/>
    </row>
    <row r="48" ht="14.25" customHeight="1">
      <c r="A48" s="3" t="s">
        <v>198</v>
      </c>
      <c r="B48" s="15">
        <f>Historicals!B101</f>
        <v>1262</v>
      </c>
      <c r="C48" s="15">
        <f>Historicals!C101</f>
        <v>748</v>
      </c>
      <c r="D48" s="15">
        <f>Historicals!D101</f>
        <v>703</v>
      </c>
      <c r="E48" s="15">
        <f>Historicals!E101</f>
        <v>529</v>
      </c>
      <c r="F48" s="15">
        <f>Historicals!F101</f>
        <v>757</v>
      </c>
      <c r="G48" s="15">
        <f>Historicals!G101</f>
        <v>1028</v>
      </c>
      <c r="H48" s="15">
        <f>Historicals!H101</f>
        <v>1177</v>
      </c>
      <c r="I48" s="15">
        <f>Historicals!I101</f>
        <v>1231</v>
      </c>
      <c r="J48" s="15">
        <f t="shared" ref="J48:N48" si="46">J11*J13</f>
        <v>605</v>
      </c>
      <c r="K48" s="15">
        <f t="shared" si="46"/>
        <v>634.5042436</v>
      </c>
      <c r="L48" s="15">
        <f t="shared" si="46"/>
        <v>665.4473308</v>
      </c>
      <c r="M48" s="15">
        <f t="shared" si="46"/>
        <v>697.8994301</v>
      </c>
      <c r="N48" s="15">
        <f t="shared" si="46"/>
        <v>731.9341322</v>
      </c>
      <c r="O48" s="63" t="s">
        <v>199</v>
      </c>
      <c r="P48" s="3"/>
      <c r="Q48" s="3"/>
      <c r="R48" s="3"/>
      <c r="S48" s="3"/>
      <c r="T48" s="3"/>
      <c r="U48" s="3"/>
      <c r="V48" s="3"/>
      <c r="W48" s="3"/>
      <c r="X48" s="3"/>
      <c r="Y48" s="3"/>
      <c r="Z48" s="3"/>
    </row>
    <row r="49" ht="14.25" customHeight="1">
      <c r="A49" s="2" t="s">
        <v>200</v>
      </c>
      <c r="B49" s="61">
        <f t="shared" ref="B49:N49" si="47">B46-B48</f>
        <v>2383</v>
      </c>
      <c r="C49" s="61">
        <f t="shared" si="47"/>
        <v>3015</v>
      </c>
      <c r="D49" s="61">
        <f t="shared" si="47"/>
        <v>3172</v>
      </c>
      <c r="E49" s="61">
        <f t="shared" si="47"/>
        <v>3071</v>
      </c>
      <c r="F49" s="61">
        <f t="shared" si="47"/>
        <v>3168</v>
      </c>
      <c r="G49" s="61">
        <f t="shared" si="47"/>
        <v>1871</v>
      </c>
      <c r="H49" s="61">
        <f t="shared" si="47"/>
        <v>3912</v>
      </c>
      <c r="I49" s="61">
        <f t="shared" si="47"/>
        <v>3883</v>
      </c>
      <c r="J49" s="61">
        <f t="shared" si="47"/>
        <v>4758.396201</v>
      </c>
      <c r="K49" s="61">
        <f t="shared" si="47"/>
        <v>4990.450549</v>
      </c>
      <c r="L49" s="61">
        <f t="shared" si="47"/>
        <v>5233.821571</v>
      </c>
      <c r="M49" s="61">
        <f t="shared" si="47"/>
        <v>5489.061152</v>
      </c>
      <c r="N49" s="61">
        <f t="shared" si="47"/>
        <v>5756.74809</v>
      </c>
      <c r="O49" s="3"/>
      <c r="P49" s="3"/>
      <c r="Q49" s="3"/>
      <c r="R49" s="3"/>
      <c r="S49" s="3"/>
      <c r="T49" s="3"/>
      <c r="U49" s="3"/>
      <c r="V49" s="3"/>
      <c r="W49" s="3"/>
      <c r="X49" s="3"/>
      <c r="Y49" s="3"/>
      <c r="Z49" s="3"/>
    </row>
    <row r="50" ht="14.25" customHeight="1">
      <c r="A50" s="3" t="s">
        <v>201</v>
      </c>
      <c r="B50" s="15">
        <f>Historicals!B100</f>
        <v>53</v>
      </c>
      <c r="C50" s="15">
        <f>Historicals!C100</f>
        <v>70</v>
      </c>
      <c r="D50" s="15">
        <f>Historicals!D100</f>
        <v>98</v>
      </c>
      <c r="E50" s="15">
        <f>Historicals!E100</f>
        <v>125</v>
      </c>
      <c r="F50" s="15">
        <f>Historicals!F100</f>
        <v>153</v>
      </c>
      <c r="G50" s="15">
        <f>Historicals!G100</f>
        <v>140</v>
      </c>
      <c r="H50" s="15">
        <f>Historicals!H100</f>
        <v>293</v>
      </c>
      <c r="I50" s="15">
        <f>Historicals!I100</f>
        <v>290</v>
      </c>
      <c r="J50" s="15">
        <f t="shared" ref="J50:N50" si="48">I70* 2%</f>
        <v>935.88</v>
      </c>
      <c r="K50" s="15">
        <f t="shared" si="48"/>
        <v>934.5217933</v>
      </c>
      <c r="L50" s="15">
        <f t="shared" si="48"/>
        <v>983.1256182</v>
      </c>
      <c r="M50" s="15">
        <f t="shared" si="48"/>
        <v>1018.325059</v>
      </c>
      <c r="N50" s="15">
        <f t="shared" si="48"/>
        <v>1051.7689</v>
      </c>
      <c r="O50" s="63" t="s">
        <v>202</v>
      </c>
      <c r="P50" s="3"/>
      <c r="Q50" s="3"/>
      <c r="R50" s="3"/>
      <c r="S50" s="3"/>
      <c r="T50" s="3"/>
      <c r="U50" s="3"/>
      <c r="V50" s="3"/>
      <c r="W50" s="3"/>
      <c r="X50" s="3"/>
      <c r="Y50" s="3"/>
      <c r="Z50" s="3"/>
    </row>
    <row r="51" ht="14.25" customHeight="1">
      <c r="A51" s="3" t="s">
        <v>203</v>
      </c>
      <c r="B51" s="15">
        <f>Historicals!N23-B23</f>
        <v>-5564</v>
      </c>
      <c r="C51" s="15">
        <f t="shared" ref="C51:N51" si="49">B23-C23</f>
        <v>-324</v>
      </c>
      <c r="D51" s="15">
        <f t="shared" si="49"/>
        <v>-796</v>
      </c>
      <c r="E51" s="15">
        <f t="shared" si="49"/>
        <v>204</v>
      </c>
      <c r="F51" s="15">
        <f t="shared" si="49"/>
        <v>-802</v>
      </c>
      <c r="G51" s="15">
        <f t="shared" si="49"/>
        <v>-586</v>
      </c>
      <c r="H51" s="15">
        <f t="shared" si="49"/>
        <v>-613</v>
      </c>
      <c r="I51" s="15">
        <f t="shared" si="49"/>
        <v>-1248</v>
      </c>
      <c r="J51" s="15">
        <f t="shared" si="49"/>
        <v>-826.965</v>
      </c>
      <c r="K51" s="15">
        <f t="shared" si="49"/>
        <v>-897.257025</v>
      </c>
      <c r="L51" s="15">
        <f t="shared" si="49"/>
        <v>-973.5238721</v>
      </c>
      <c r="M51" s="15">
        <f t="shared" si="49"/>
        <v>-1056.273401</v>
      </c>
      <c r="N51" s="15">
        <f t="shared" si="49"/>
        <v>-1146.05664</v>
      </c>
      <c r="O51" s="3"/>
      <c r="P51" s="3"/>
      <c r="Q51" s="3"/>
      <c r="R51" s="3"/>
      <c r="S51" s="3"/>
      <c r="T51" s="3"/>
      <c r="U51" s="3"/>
      <c r="V51" s="3"/>
      <c r="W51" s="3"/>
      <c r="X51" s="3"/>
      <c r="Y51" s="3"/>
      <c r="Z51" s="3"/>
    </row>
    <row r="52" ht="14.25" customHeight="1">
      <c r="A52" s="3" t="s">
        <v>152</v>
      </c>
      <c r="B52" s="9">
        <f>'Segmental forecast'!B14</f>
        <v>208</v>
      </c>
      <c r="C52" s="9">
        <f>'Segmental forecast'!C14</f>
        <v>242</v>
      </c>
      <c r="D52" s="9">
        <f>'Segmental forecast'!D14</f>
        <v>223</v>
      </c>
      <c r="E52" s="9">
        <f>'Segmental forecast'!E14</f>
        <v>196</v>
      </c>
      <c r="F52" s="9">
        <f>'Segmental forecast'!F14</f>
        <v>117</v>
      </c>
      <c r="G52" s="9">
        <f>'Segmental forecast'!G14</f>
        <v>110</v>
      </c>
      <c r="H52" s="9">
        <f>'Segmental forecast'!H14</f>
        <v>98</v>
      </c>
      <c r="I52" s="9">
        <f>'Segmental forecast'!I14</f>
        <v>146</v>
      </c>
      <c r="J52" s="9">
        <f t="shared" ref="J52:N52" si="50">I52*(1+4.9%)</f>
        <v>153.154</v>
      </c>
      <c r="K52" s="9">
        <f t="shared" si="50"/>
        <v>160.658546</v>
      </c>
      <c r="L52" s="9">
        <f t="shared" si="50"/>
        <v>168.5308148</v>
      </c>
      <c r="M52" s="9">
        <f t="shared" si="50"/>
        <v>176.7888247</v>
      </c>
      <c r="N52" s="9">
        <f t="shared" si="50"/>
        <v>185.4514771</v>
      </c>
      <c r="O52" s="3"/>
      <c r="P52" s="3"/>
      <c r="Q52" s="3"/>
      <c r="R52" s="3"/>
      <c r="S52" s="3"/>
      <c r="T52" s="3"/>
      <c r="U52" s="3"/>
      <c r="V52" s="3"/>
      <c r="W52" s="3"/>
      <c r="X52" s="3"/>
      <c r="Y52" s="3"/>
      <c r="Z52" s="3"/>
    </row>
    <row r="53" ht="14.25" customHeight="1">
      <c r="A53" s="2" t="s">
        <v>204</v>
      </c>
      <c r="B53" s="61">
        <f t="shared" ref="B53:N53" si="51">B49-B48+B47-B51-B52</f>
        <v>6598</v>
      </c>
      <c r="C53" s="61">
        <f t="shared" si="51"/>
        <v>2482</v>
      </c>
      <c r="D53" s="61">
        <f t="shared" si="51"/>
        <v>3182</v>
      </c>
      <c r="E53" s="61">
        <f t="shared" si="51"/>
        <v>2302</v>
      </c>
      <c r="F53" s="61">
        <f t="shared" si="51"/>
        <v>3245</v>
      </c>
      <c r="G53" s="61">
        <f t="shared" si="51"/>
        <v>1467</v>
      </c>
      <c r="H53" s="61">
        <f t="shared" si="51"/>
        <v>3380</v>
      </c>
      <c r="I53" s="61">
        <f t="shared" si="51"/>
        <v>3878</v>
      </c>
      <c r="J53" s="61">
        <f t="shared" si="51"/>
        <v>4957.254352</v>
      </c>
      <c r="K53" s="61">
        <f t="shared" si="51"/>
        <v>5228.933989</v>
      </c>
      <c r="L53" s="61">
        <f t="shared" si="51"/>
        <v>5516.407842</v>
      </c>
      <c r="M53" s="61">
        <f t="shared" si="51"/>
        <v>5820.66255</v>
      </c>
      <c r="N53" s="61">
        <f t="shared" si="51"/>
        <v>6142.751267</v>
      </c>
      <c r="O53" s="3"/>
      <c r="P53" s="3"/>
      <c r="Q53" s="3"/>
      <c r="R53" s="3"/>
      <c r="S53" s="3"/>
      <c r="T53" s="3"/>
      <c r="U53" s="3"/>
      <c r="V53" s="3"/>
      <c r="W53" s="3"/>
      <c r="X53" s="3"/>
      <c r="Y53" s="3"/>
      <c r="Z53" s="3"/>
    </row>
    <row r="54" ht="14.25" customHeight="1">
      <c r="A54" s="3" t="s">
        <v>205</v>
      </c>
      <c r="B54" s="9">
        <f>+Historicals!B75-(B49+B51+B47)</f>
        <v>4297</v>
      </c>
      <c r="C54" s="9">
        <f>+Historicals!C75-(C49+C51+C47)</f>
        <v>-3410</v>
      </c>
      <c r="D54" s="9">
        <f>+Historicals!D75-(D49+D51+D47)</f>
        <v>-2674</v>
      </c>
      <c r="E54" s="9">
        <f>+Historicals!E75-(E49+E51+E47)</f>
        <v>-1920</v>
      </c>
      <c r="F54" s="9">
        <f>+Historicals!F75-(F49+F51+F47)</f>
        <v>-990</v>
      </c>
      <c r="G54" s="9">
        <f>+Historicals!G75-(G49+G51+G47)</f>
        <v>-1409</v>
      </c>
      <c r="H54" s="9">
        <f>+Historicals!H75-(H49+H51+H47)</f>
        <v>-2103</v>
      </c>
      <c r="I54" s="9">
        <f>+Historicals!I75-(I49+I51+I47)</f>
        <v>-1394</v>
      </c>
      <c r="J54" s="9">
        <f>+SUM(G54:I54)/8</f>
        <v>-613.25</v>
      </c>
      <c r="K54" s="9">
        <f>+SUM(G54:J54)/8</f>
        <v>-689.90625</v>
      </c>
      <c r="L54" s="9">
        <f>+SUM(G54:K54)/8</f>
        <v>-776.1445313</v>
      </c>
      <c r="M54" s="9">
        <f>+SUM(G54:L54)/8</f>
        <v>-873.1625977</v>
      </c>
      <c r="N54" s="9">
        <f>+SUM(G54:M54)/8</f>
        <v>-982.3079224</v>
      </c>
      <c r="O54" s="3"/>
      <c r="P54" s="3"/>
      <c r="Q54" s="3"/>
      <c r="R54" s="3"/>
      <c r="S54" s="3"/>
      <c r="T54" s="3"/>
      <c r="U54" s="3"/>
      <c r="V54" s="3"/>
      <c r="W54" s="3"/>
      <c r="X54" s="3"/>
      <c r="Y54" s="3"/>
      <c r="Z54" s="3"/>
    </row>
    <row r="55" ht="14.25" customHeight="1">
      <c r="A55" s="35" t="s">
        <v>206</v>
      </c>
      <c r="B55" s="34">
        <f t="shared" ref="B55:N55" si="52">B49+B51+B47+B54</f>
        <v>1237</v>
      </c>
      <c r="C55" s="34">
        <f t="shared" si="52"/>
        <v>-586</v>
      </c>
      <c r="D55" s="34">
        <f t="shared" si="52"/>
        <v>-158</v>
      </c>
      <c r="E55" s="34">
        <f t="shared" si="52"/>
        <v>1515</v>
      </c>
      <c r="F55" s="34">
        <f t="shared" si="52"/>
        <v>1525</v>
      </c>
      <c r="G55" s="34">
        <f t="shared" si="52"/>
        <v>24</v>
      </c>
      <c r="H55" s="34">
        <f t="shared" si="52"/>
        <v>1326</v>
      </c>
      <c r="I55" s="34">
        <f t="shared" si="52"/>
        <v>1365</v>
      </c>
      <c r="J55" s="34">
        <f t="shared" si="52"/>
        <v>3448.228352</v>
      </c>
      <c r="K55" s="34">
        <f t="shared" si="52"/>
        <v>3539.676479</v>
      </c>
      <c r="L55" s="34">
        <f t="shared" si="52"/>
        <v>3627.193712</v>
      </c>
      <c r="M55" s="34">
        <f t="shared" si="52"/>
        <v>3709.641405</v>
      </c>
      <c r="N55" s="34">
        <f t="shared" si="52"/>
        <v>3785.715673</v>
      </c>
      <c r="O55" s="3"/>
      <c r="P55" s="3"/>
      <c r="Q55" s="3"/>
      <c r="R55" s="3"/>
      <c r="S55" s="3"/>
      <c r="T55" s="3"/>
      <c r="U55" s="3"/>
      <c r="V55" s="3"/>
      <c r="W55" s="3"/>
      <c r="X55" s="3"/>
      <c r="Y55" s="3"/>
      <c r="Z55" s="3"/>
    </row>
    <row r="56" ht="14.25" customHeight="1">
      <c r="A56" s="3" t="s">
        <v>207</v>
      </c>
      <c r="B56" s="30"/>
      <c r="C56" s="30"/>
      <c r="D56" s="30"/>
      <c r="E56" s="30"/>
      <c r="F56" s="30"/>
      <c r="G56" s="30"/>
      <c r="H56" s="30"/>
      <c r="I56" s="30"/>
      <c r="J56" s="30"/>
      <c r="K56" s="30"/>
      <c r="L56" s="30"/>
      <c r="M56" s="30"/>
      <c r="N56" s="30"/>
      <c r="O56" s="3"/>
      <c r="P56" s="3"/>
      <c r="Q56" s="3"/>
      <c r="R56" s="3"/>
      <c r="S56" s="3"/>
      <c r="T56" s="3"/>
      <c r="U56" s="3"/>
      <c r="V56" s="3"/>
      <c r="W56" s="3"/>
      <c r="X56" s="3"/>
      <c r="Y56" s="3"/>
      <c r="Z56" s="3"/>
    </row>
    <row r="57" ht="14.25" customHeight="1">
      <c r="A57" s="3" t="s">
        <v>208</v>
      </c>
      <c r="B57" s="15">
        <f>Historicals!B78+Historicals!B79+Historicals!B80+Historicals!B81+Historicals!B82</f>
        <v>44</v>
      </c>
      <c r="C57" s="15">
        <f>Historicals!C78+Historicals!C79+Historicals!C80+Historicals!C81+Historicals!C82</f>
        <v>-1194</v>
      </c>
      <c r="D57" s="15">
        <f>Historicals!D78+Historicals!D79+Historicals!D80+Historicals!D81+Historicals!D82</f>
        <v>-1021</v>
      </c>
      <c r="E57" s="15">
        <f>Historicals!E78+Historicals!E79+Historicals!E80+Historicals!E81+Historicals!E82</f>
        <v>273</v>
      </c>
      <c r="F57" s="15">
        <f>Historicals!F78+Historicals!F79+Historicals!F80+Historicals!F81+Historicals!F82</f>
        <v>-264</v>
      </c>
      <c r="G57" s="15">
        <f>Historicals!G78+Historicals!G79+Historicals!G80+Historicals!G81+Historicals!G82</f>
        <v>-1028</v>
      </c>
      <c r="H57" s="15">
        <f>Historicals!H78+Historicals!H79+Historicals!H80+Historicals!H81+Historicals!H82</f>
        <v>-3800</v>
      </c>
      <c r="I57" s="15">
        <f>Historicals!I78+Historicals!I79+Historicals!I80+Historicals!I81+Historicals!I82</f>
        <v>-1524</v>
      </c>
      <c r="J57" s="15">
        <f>+SUM(B57:I57)/8</f>
        <v>-1064.25</v>
      </c>
      <c r="K57" s="15">
        <f>+SUM(C57:I57)/8</f>
        <v>-1069.75</v>
      </c>
      <c r="L57" s="15">
        <f>+SUM(D57:I57)/8</f>
        <v>-920.5</v>
      </c>
      <c r="M57" s="15">
        <f>+SUM(E57:I57)/8</f>
        <v>-792.875</v>
      </c>
      <c r="N57" s="15">
        <f>+SUM(F57:I57)/8</f>
        <v>-827</v>
      </c>
      <c r="O57" s="3"/>
      <c r="P57" s="3"/>
      <c r="Q57" s="3"/>
      <c r="R57" s="3"/>
      <c r="S57" s="3"/>
      <c r="T57" s="3"/>
      <c r="U57" s="3"/>
      <c r="V57" s="3"/>
      <c r="W57" s="3"/>
      <c r="X57" s="3"/>
      <c r="Y57" s="3"/>
      <c r="Z57" s="3"/>
    </row>
    <row r="58" ht="14.25" customHeight="1">
      <c r="A58" s="35" t="s">
        <v>209</v>
      </c>
      <c r="B58" s="34">
        <f t="shared" ref="B58:N58" si="53">B52+B56+B57</f>
        <v>252</v>
      </c>
      <c r="C58" s="34">
        <f t="shared" si="53"/>
        <v>-952</v>
      </c>
      <c r="D58" s="34">
        <f t="shared" si="53"/>
        <v>-798</v>
      </c>
      <c r="E58" s="34">
        <f t="shared" si="53"/>
        <v>469</v>
      </c>
      <c r="F58" s="34">
        <f t="shared" si="53"/>
        <v>-147</v>
      </c>
      <c r="G58" s="34">
        <f t="shared" si="53"/>
        <v>-918</v>
      </c>
      <c r="H58" s="34">
        <f t="shared" si="53"/>
        <v>-3702</v>
      </c>
      <c r="I58" s="34">
        <f t="shared" si="53"/>
        <v>-1378</v>
      </c>
      <c r="J58" s="34">
        <f t="shared" si="53"/>
        <v>-911.096</v>
      </c>
      <c r="K58" s="34">
        <f t="shared" si="53"/>
        <v>-909.091454</v>
      </c>
      <c r="L58" s="34">
        <f t="shared" si="53"/>
        <v>-751.9691852</v>
      </c>
      <c r="M58" s="34">
        <f t="shared" si="53"/>
        <v>-616.0861753</v>
      </c>
      <c r="N58" s="34">
        <f t="shared" si="53"/>
        <v>-641.5485229</v>
      </c>
      <c r="O58" s="3"/>
      <c r="P58" s="3"/>
      <c r="Q58" s="3"/>
      <c r="R58" s="3"/>
      <c r="S58" s="3"/>
      <c r="T58" s="3"/>
      <c r="U58" s="3"/>
      <c r="V58" s="3"/>
      <c r="W58" s="3"/>
      <c r="X58" s="3"/>
      <c r="Y58" s="3"/>
      <c r="Z58" s="3"/>
    </row>
    <row r="59" ht="14.25" customHeight="1">
      <c r="A59" s="3" t="s">
        <v>210</v>
      </c>
      <c r="B59" s="15">
        <f>Historicals!B88+Historicals!B89</f>
        <v>732</v>
      </c>
      <c r="C59" s="15">
        <f>Historicals!C88+Historicals!C89</f>
        <v>-2731</v>
      </c>
      <c r="D59" s="15">
        <f>Historicals!D88+Historicals!D89</f>
        <v>-2734</v>
      </c>
      <c r="E59" s="15">
        <f>Historicals!E88+Historicals!E89</f>
        <v>-3521</v>
      </c>
      <c r="F59" s="15">
        <f>Historicals!F88+Historicals!F89</f>
        <v>-3586</v>
      </c>
      <c r="G59" s="15">
        <f>Historicals!G88+Historicals!G89</f>
        <v>-2182</v>
      </c>
      <c r="H59" s="15">
        <f>Historicals!H88+Historicals!H89</f>
        <v>564</v>
      </c>
      <c r="I59" s="15">
        <f>Historicals!I88+Historicals!I89</f>
        <v>-2863</v>
      </c>
      <c r="J59" s="15">
        <f t="shared" ref="J59:M59" si="54">+SUM(B59:I59)/8</f>
        <v>-2040.125</v>
      </c>
      <c r="K59" s="15">
        <f t="shared" si="54"/>
        <v>-2386.640625</v>
      </c>
      <c r="L59" s="15">
        <f t="shared" si="54"/>
        <v>-2343.595703</v>
      </c>
      <c r="M59" s="15">
        <f t="shared" si="54"/>
        <v>-2294.795166</v>
      </c>
      <c r="N59" s="15">
        <f>SUM(F59:M59)/8</f>
        <v>-2141.519562</v>
      </c>
      <c r="O59" s="63" t="s">
        <v>211</v>
      </c>
      <c r="P59" s="3"/>
      <c r="Q59" s="3"/>
      <c r="R59" s="3"/>
      <c r="S59" s="3"/>
      <c r="T59" s="3"/>
      <c r="U59" s="3"/>
      <c r="V59" s="3"/>
      <c r="W59" s="3"/>
      <c r="X59" s="3"/>
      <c r="Y59" s="3"/>
      <c r="Z59" s="3"/>
    </row>
    <row r="60" ht="14.25" customHeight="1">
      <c r="A60" s="54" t="s">
        <v>143</v>
      </c>
      <c r="B60" s="74"/>
      <c r="C60" s="64">
        <f t="shared" ref="C60:N60" si="55">C59/B59-1</f>
        <v>-4.730874317</v>
      </c>
      <c r="D60" s="64">
        <f t="shared" si="55"/>
        <v>0.001098498718</v>
      </c>
      <c r="E60" s="64">
        <f t="shared" si="55"/>
        <v>0.2878566203</v>
      </c>
      <c r="F60" s="64">
        <f t="shared" si="55"/>
        <v>0.01846066458</v>
      </c>
      <c r="G60" s="64">
        <f t="shared" si="55"/>
        <v>-0.3915225878</v>
      </c>
      <c r="H60" s="64">
        <f t="shared" si="55"/>
        <v>-1.25847846</v>
      </c>
      <c r="I60" s="64">
        <f t="shared" si="55"/>
        <v>-6.076241135</v>
      </c>
      <c r="J60" s="64">
        <f t="shared" si="55"/>
        <v>-0.2874170451</v>
      </c>
      <c r="K60" s="64">
        <f t="shared" si="55"/>
        <v>0.169850193</v>
      </c>
      <c r="L60" s="64">
        <f t="shared" si="55"/>
        <v>-0.01803577859</v>
      </c>
      <c r="M60" s="64">
        <f t="shared" si="55"/>
        <v>-0.02082293334</v>
      </c>
      <c r="N60" s="64">
        <f t="shared" si="55"/>
        <v>-0.06679271707</v>
      </c>
      <c r="O60" s="3"/>
      <c r="P60" s="3"/>
      <c r="Q60" s="3"/>
      <c r="R60" s="3"/>
      <c r="S60" s="3"/>
      <c r="T60" s="3"/>
      <c r="U60" s="3"/>
      <c r="V60" s="3"/>
      <c r="W60" s="3"/>
      <c r="X60" s="3"/>
      <c r="Y60" s="3"/>
      <c r="Z60" s="3"/>
    </row>
    <row r="61" ht="14.25" customHeight="1">
      <c r="A61" s="3" t="s">
        <v>212</v>
      </c>
      <c r="B61" s="15">
        <f>Historicals!B90</f>
        <v>-2534</v>
      </c>
      <c r="C61" s="15">
        <f>Historicals!C90</f>
        <v>-1022</v>
      </c>
      <c r="D61" s="15">
        <f>Historicals!D90</f>
        <v>-1133</v>
      </c>
      <c r="E61" s="15">
        <f>Historicals!E90</f>
        <v>-1243</v>
      </c>
      <c r="F61" s="15">
        <f>Historicals!F90</f>
        <v>-1332</v>
      </c>
      <c r="G61" s="15">
        <f>Historicals!G90</f>
        <v>-1452</v>
      </c>
      <c r="H61" s="15">
        <f>Historicals!H90</f>
        <v>-1638</v>
      </c>
      <c r="I61" s="15">
        <f>Historicals!I90</f>
        <v>-1837</v>
      </c>
      <c r="J61" s="15">
        <f t="shared" ref="J61:N61" si="56">J17*J15</f>
        <v>1240.593348</v>
      </c>
      <c r="K61" s="15">
        <f t="shared" si="56"/>
        <v>1055.516219</v>
      </c>
      <c r="L61" s="15">
        <f t="shared" si="56"/>
        <v>879.0220848</v>
      </c>
      <c r="M61" s="15">
        <f t="shared" si="56"/>
        <v>708.3254756</v>
      </c>
      <c r="N61" s="15">
        <f t="shared" si="56"/>
        <v>539.1879213</v>
      </c>
      <c r="O61" s="3"/>
      <c r="P61" s="3"/>
      <c r="Q61" s="3"/>
      <c r="R61" s="3"/>
      <c r="S61" s="3"/>
      <c r="T61" s="3"/>
      <c r="U61" s="3"/>
      <c r="V61" s="3"/>
      <c r="W61" s="3"/>
      <c r="X61" s="3"/>
      <c r="Y61" s="3"/>
      <c r="Z61" s="3"/>
    </row>
    <row r="62" ht="14.25" customHeight="1">
      <c r="A62" s="3" t="s">
        <v>213</v>
      </c>
      <c r="B62" s="15">
        <f>+SUM(Historicals!B85:B87)</f>
        <v>-82</v>
      </c>
      <c r="C62" s="15">
        <f>+SUM(Historicals!C85:C87)</f>
        <v>907</v>
      </c>
      <c r="D62" s="15">
        <f>+SUM(Historicals!D85:D87)</f>
        <v>1792</v>
      </c>
      <c r="E62" s="15">
        <f>+SUM(Historicals!E85:E87)</f>
        <v>-10</v>
      </c>
      <c r="F62" s="15">
        <f>+SUM(Historicals!F85:F87)</f>
        <v>-325</v>
      </c>
      <c r="G62" s="15">
        <f>+SUM(Historicals!G85:G87)</f>
        <v>6183</v>
      </c>
      <c r="H62" s="15">
        <f>+SUM(Historicals!H85:H87)</f>
        <v>-249</v>
      </c>
      <c r="I62" s="15">
        <f>+SUM(Historicals!I85:I87)</f>
        <v>15</v>
      </c>
      <c r="J62" s="15">
        <f>(E62+F62+H62+I62)/4</f>
        <v>-142.25</v>
      </c>
      <c r="K62" s="15">
        <f>(E62+F62+H62+I62+J62)/4</f>
        <v>-177.8125</v>
      </c>
      <c r="L62" s="15">
        <f>(E62+F62+H62+I62+J62+K62)/4</f>
        <v>-222.265625</v>
      </c>
      <c r="M62" s="15">
        <f t="shared" ref="M62:N62" si="57">(I62+J62+K62+L62)/4</f>
        <v>-131.8320313</v>
      </c>
      <c r="N62" s="15">
        <f t="shared" si="57"/>
        <v>-168.5400391</v>
      </c>
      <c r="O62" s="3"/>
      <c r="P62" s="3"/>
      <c r="Q62" s="3"/>
      <c r="R62" s="3"/>
      <c r="S62" s="3"/>
      <c r="T62" s="3"/>
      <c r="U62" s="3"/>
      <c r="V62" s="3"/>
      <c r="W62" s="3"/>
      <c r="X62" s="3"/>
      <c r="Y62" s="3"/>
      <c r="Z62" s="3"/>
    </row>
    <row r="63" ht="14.25" customHeight="1">
      <c r="A63" s="3" t="s">
        <v>214</v>
      </c>
      <c r="B63" s="15">
        <f>Historicals!B91</f>
        <v>-899</v>
      </c>
      <c r="C63" s="15">
        <f>Historicals!C91</f>
        <v>-22</v>
      </c>
      <c r="D63" s="15">
        <f>Historicals!D91</f>
        <v>-29</v>
      </c>
      <c r="E63" s="15">
        <f>Historicals!E91</f>
        <v>-55</v>
      </c>
      <c r="F63" s="15">
        <f>Historicals!F91</f>
        <v>-50</v>
      </c>
      <c r="G63" s="15">
        <f>Historicals!G91</f>
        <v>-58</v>
      </c>
      <c r="H63" s="15">
        <f>Historicals!H91</f>
        <v>-136</v>
      </c>
      <c r="I63" s="15">
        <f>Historicals!I91</f>
        <v>-151</v>
      </c>
      <c r="J63" s="15">
        <f t="shared" ref="J63:N63" si="58">I63*(1+11%)</f>
        <v>-167.61</v>
      </c>
      <c r="K63" s="15">
        <f t="shared" si="58"/>
        <v>-186.0471</v>
      </c>
      <c r="L63" s="15">
        <f t="shared" si="58"/>
        <v>-206.512281</v>
      </c>
      <c r="M63" s="15">
        <f t="shared" si="58"/>
        <v>-229.2286319</v>
      </c>
      <c r="N63" s="15">
        <f t="shared" si="58"/>
        <v>-254.4437814</v>
      </c>
      <c r="O63" s="3"/>
      <c r="P63" s="3"/>
      <c r="Q63" s="3"/>
      <c r="R63" s="3"/>
      <c r="S63" s="3"/>
      <c r="T63" s="3"/>
      <c r="U63" s="3"/>
      <c r="V63" s="3"/>
      <c r="W63" s="3"/>
      <c r="X63" s="3"/>
      <c r="Y63" s="3"/>
      <c r="Z63" s="3"/>
    </row>
    <row r="64" ht="14.25" customHeight="1">
      <c r="A64" s="35" t="s">
        <v>215</v>
      </c>
      <c r="B64" s="34">
        <f t="shared" ref="B64:N64" si="59">B59+B61+B62+B63</f>
        <v>-2783</v>
      </c>
      <c r="C64" s="34">
        <f t="shared" si="59"/>
        <v>-2868</v>
      </c>
      <c r="D64" s="34">
        <f t="shared" si="59"/>
        <v>-2104</v>
      </c>
      <c r="E64" s="34">
        <f t="shared" si="59"/>
        <v>-4829</v>
      </c>
      <c r="F64" s="34">
        <f t="shared" si="59"/>
        <v>-5293</v>
      </c>
      <c r="G64" s="34">
        <f t="shared" si="59"/>
        <v>2491</v>
      </c>
      <c r="H64" s="34">
        <f t="shared" si="59"/>
        <v>-1459</v>
      </c>
      <c r="I64" s="34">
        <f t="shared" si="59"/>
        <v>-4836</v>
      </c>
      <c r="J64" s="34">
        <f t="shared" si="59"/>
        <v>-1109.391652</v>
      </c>
      <c r="K64" s="34">
        <f t="shared" si="59"/>
        <v>-1694.984006</v>
      </c>
      <c r="L64" s="34">
        <f t="shared" si="59"/>
        <v>-1893.351524</v>
      </c>
      <c r="M64" s="34">
        <f t="shared" si="59"/>
        <v>-1947.530354</v>
      </c>
      <c r="N64" s="34">
        <f t="shared" si="59"/>
        <v>-2025.315461</v>
      </c>
      <c r="O64" s="3"/>
      <c r="P64" s="3"/>
      <c r="Q64" s="3"/>
      <c r="R64" s="3"/>
      <c r="S64" s="3"/>
      <c r="T64" s="3"/>
      <c r="U64" s="3"/>
      <c r="V64" s="3"/>
      <c r="W64" s="3"/>
      <c r="X64" s="3"/>
      <c r="Y64" s="3"/>
      <c r="Z64" s="3"/>
    </row>
    <row r="65" ht="14.25" customHeight="1">
      <c r="A65" s="3" t="s">
        <v>216</v>
      </c>
      <c r="B65" s="15">
        <f>Historicals!B93</f>
        <v>-83</v>
      </c>
      <c r="C65" s="15">
        <f>Historicals!C93</f>
        <v>-105</v>
      </c>
      <c r="D65" s="15">
        <f>Historicals!D93</f>
        <v>-20</v>
      </c>
      <c r="E65" s="15">
        <f>Historicals!E93</f>
        <v>45</v>
      </c>
      <c r="F65" s="15">
        <f>Historicals!F93</f>
        <v>-129</v>
      </c>
      <c r="G65" s="15">
        <f>Historicals!G93</f>
        <v>-66</v>
      </c>
      <c r="H65" s="15">
        <f>Historicals!H93</f>
        <v>143</v>
      </c>
      <c r="I65" s="15">
        <f>Historicals!I93</f>
        <v>-143</v>
      </c>
      <c r="J65" s="15">
        <f t="shared" ref="J65:N65" si="60">+SUM(B65:I65)/8</f>
        <v>-44.75</v>
      </c>
      <c r="K65" s="15">
        <f t="shared" si="60"/>
        <v>-39.96875</v>
      </c>
      <c r="L65" s="15">
        <f t="shared" si="60"/>
        <v>-31.83984375</v>
      </c>
      <c r="M65" s="15">
        <f t="shared" si="60"/>
        <v>-33.31982422</v>
      </c>
      <c r="N65" s="15">
        <f t="shared" si="60"/>
        <v>-43.10980225</v>
      </c>
      <c r="O65" s="3"/>
      <c r="P65" s="3"/>
      <c r="Q65" s="3"/>
      <c r="R65" s="3"/>
      <c r="S65" s="3"/>
      <c r="T65" s="3"/>
      <c r="U65" s="3"/>
      <c r="V65" s="3"/>
      <c r="W65" s="3"/>
      <c r="X65" s="3"/>
      <c r="Y65" s="3"/>
      <c r="Z65" s="3"/>
    </row>
    <row r="66" ht="14.25" customHeight="1">
      <c r="A66" s="35" t="s">
        <v>217</v>
      </c>
      <c r="B66" s="34">
        <f t="shared" ref="B66:N66" si="61">B55+B58+B64+B65</f>
        <v>-1377</v>
      </c>
      <c r="C66" s="34">
        <f t="shared" si="61"/>
        <v>-4511</v>
      </c>
      <c r="D66" s="34">
        <f t="shared" si="61"/>
        <v>-3080</v>
      </c>
      <c r="E66" s="34">
        <f t="shared" si="61"/>
        <v>-2800</v>
      </c>
      <c r="F66" s="34">
        <f t="shared" si="61"/>
        <v>-4044</v>
      </c>
      <c r="G66" s="34">
        <f t="shared" si="61"/>
        <v>1531</v>
      </c>
      <c r="H66" s="34">
        <f t="shared" si="61"/>
        <v>-3692</v>
      </c>
      <c r="I66" s="34">
        <f t="shared" si="61"/>
        <v>-4992</v>
      </c>
      <c r="J66" s="34">
        <f t="shared" si="61"/>
        <v>1382.9907</v>
      </c>
      <c r="K66" s="34">
        <f t="shared" si="61"/>
        <v>895.6322689</v>
      </c>
      <c r="L66" s="34">
        <f t="shared" si="61"/>
        <v>950.033159</v>
      </c>
      <c r="M66" s="34">
        <f t="shared" si="61"/>
        <v>1112.705052</v>
      </c>
      <c r="N66" s="34">
        <f t="shared" si="61"/>
        <v>1075.741887</v>
      </c>
      <c r="O66" s="63" t="s">
        <v>218</v>
      </c>
      <c r="P66" s="3"/>
      <c r="Q66" s="3"/>
      <c r="R66" s="3"/>
      <c r="S66" s="3"/>
      <c r="T66" s="3"/>
      <c r="U66" s="3"/>
      <c r="V66" s="3"/>
      <c r="W66" s="3"/>
      <c r="X66" s="3"/>
      <c r="Y66" s="3"/>
      <c r="Z66" s="3"/>
    </row>
    <row r="67" ht="14.25" customHeight="1">
      <c r="A67" s="3" t="s">
        <v>219</v>
      </c>
      <c r="B67" s="15">
        <f>Historicals!B95</f>
        <v>2220</v>
      </c>
      <c r="C67" s="15">
        <f>Historicals!C95</f>
        <v>3852</v>
      </c>
      <c r="D67" s="15">
        <f>Historicals!D95</f>
        <v>3138</v>
      </c>
      <c r="E67" s="15">
        <f>Historicals!E95</f>
        <v>3808</v>
      </c>
      <c r="F67" s="15">
        <f>Historicals!F95</f>
        <v>4249</v>
      </c>
      <c r="G67" s="15">
        <f>Historicals!G95</f>
        <v>4466</v>
      </c>
      <c r="H67" s="15">
        <f>Historicals!H95</f>
        <v>8348</v>
      </c>
      <c r="I67" s="15">
        <f>Historicals!I95</f>
        <v>7710</v>
      </c>
      <c r="J67" s="15">
        <f t="shared" ref="J67:N67" si="62">I68</f>
        <v>2718</v>
      </c>
      <c r="K67" s="15">
        <f t="shared" si="62"/>
        <v>4100.9907</v>
      </c>
      <c r="L67" s="15">
        <f t="shared" si="62"/>
        <v>4996.622969</v>
      </c>
      <c r="M67" s="15">
        <f t="shared" si="62"/>
        <v>5946.656128</v>
      </c>
      <c r="N67" s="15">
        <f t="shared" si="62"/>
        <v>7059.36118</v>
      </c>
      <c r="O67" s="3"/>
      <c r="P67" s="3"/>
      <c r="Q67" s="3"/>
      <c r="R67" s="3"/>
      <c r="S67" s="3"/>
      <c r="T67" s="3"/>
      <c r="U67" s="3"/>
      <c r="V67" s="3"/>
      <c r="W67" s="3"/>
      <c r="X67" s="3"/>
      <c r="Y67" s="3"/>
      <c r="Z67" s="3"/>
    </row>
    <row r="68" ht="14.25" customHeight="1">
      <c r="A68" s="18" t="s">
        <v>220</v>
      </c>
      <c r="B68" s="40">
        <f t="shared" ref="B68:M68" si="63">B55+B58+B64+B65+B67</f>
        <v>843</v>
      </c>
      <c r="C68" s="40">
        <f t="shared" si="63"/>
        <v>-659</v>
      </c>
      <c r="D68" s="40">
        <f t="shared" si="63"/>
        <v>58</v>
      </c>
      <c r="E68" s="40">
        <f t="shared" si="63"/>
        <v>1008</v>
      </c>
      <c r="F68" s="40">
        <f t="shared" si="63"/>
        <v>205</v>
      </c>
      <c r="G68" s="40">
        <f t="shared" si="63"/>
        <v>5997</v>
      </c>
      <c r="H68" s="40">
        <f t="shared" si="63"/>
        <v>4656</v>
      </c>
      <c r="I68" s="40">
        <f t="shared" si="63"/>
        <v>2718</v>
      </c>
      <c r="J68" s="40">
        <f t="shared" si="63"/>
        <v>4100.9907</v>
      </c>
      <c r="K68" s="40">
        <f t="shared" si="63"/>
        <v>4996.622969</v>
      </c>
      <c r="L68" s="40">
        <f t="shared" si="63"/>
        <v>5946.656128</v>
      </c>
      <c r="M68" s="40">
        <f t="shared" si="63"/>
        <v>7059.36118</v>
      </c>
      <c r="N68" s="40">
        <f>N66+N67</f>
        <v>8135.103067</v>
      </c>
      <c r="O68" s="63" t="s">
        <v>221</v>
      </c>
      <c r="P68" s="3"/>
      <c r="Q68" s="3"/>
      <c r="R68" s="3"/>
      <c r="S68" s="3"/>
      <c r="T68" s="3"/>
      <c r="U68" s="3"/>
      <c r="V68" s="3"/>
      <c r="W68" s="3"/>
      <c r="X68" s="3"/>
      <c r="Y68" s="3"/>
      <c r="Z68" s="3"/>
    </row>
    <row r="69" ht="14.25" customHeight="1">
      <c r="A69" s="73" t="s">
        <v>195</v>
      </c>
      <c r="B69" s="53"/>
      <c r="C69" s="53"/>
      <c r="D69" s="53"/>
      <c r="E69" s="53"/>
      <c r="F69" s="53"/>
      <c r="G69" s="53"/>
      <c r="H69" s="53"/>
      <c r="I69" s="53"/>
      <c r="J69" s="53"/>
      <c r="K69" s="53"/>
      <c r="L69" s="53"/>
      <c r="M69" s="53"/>
      <c r="N69" s="53"/>
      <c r="O69" s="3"/>
      <c r="P69" s="3"/>
      <c r="Q69" s="3"/>
      <c r="R69" s="3"/>
      <c r="S69" s="3"/>
      <c r="T69" s="3"/>
      <c r="U69" s="3"/>
      <c r="V69" s="3"/>
      <c r="W69" s="3"/>
      <c r="X69" s="3"/>
      <c r="Y69" s="3"/>
      <c r="Z69" s="3"/>
    </row>
    <row r="70" ht="14.25" customHeight="1">
      <c r="A70" s="2" t="s">
        <v>222</v>
      </c>
      <c r="B70" s="61">
        <f t="shared" ref="B70:N70" si="64">B43-B21</f>
        <v>21187</v>
      </c>
      <c r="C70" s="61">
        <f t="shared" si="64"/>
        <v>20960</v>
      </c>
      <c r="D70" s="61">
        <f t="shared" si="64"/>
        <v>22730</v>
      </c>
      <c r="E70" s="61">
        <f t="shared" si="64"/>
        <v>22979</v>
      </c>
      <c r="F70" s="61">
        <f t="shared" si="64"/>
        <v>25234</v>
      </c>
      <c r="G70" s="61">
        <f t="shared" si="64"/>
        <v>38869</v>
      </c>
      <c r="H70" s="61">
        <f t="shared" si="64"/>
        <v>44221</v>
      </c>
      <c r="I70" s="61">
        <f t="shared" si="64"/>
        <v>46794</v>
      </c>
      <c r="J70" s="61">
        <f t="shared" si="64"/>
        <v>46726.08967</v>
      </c>
      <c r="K70" s="61">
        <f t="shared" si="64"/>
        <v>49156.28091</v>
      </c>
      <c r="L70" s="61">
        <f t="shared" si="64"/>
        <v>50916.25295</v>
      </c>
      <c r="M70" s="61">
        <f t="shared" si="64"/>
        <v>52588.44499</v>
      </c>
      <c r="N70" s="61">
        <f t="shared" si="64"/>
        <v>54821.03429</v>
      </c>
      <c r="O70" s="63" t="s">
        <v>223</v>
      </c>
      <c r="P70" s="3"/>
      <c r="Q70" s="3"/>
      <c r="R70" s="3"/>
      <c r="S70" s="3"/>
      <c r="T70" s="3"/>
      <c r="U70" s="3"/>
      <c r="V70" s="3"/>
      <c r="W70" s="3"/>
      <c r="X70" s="3"/>
      <c r="Y70" s="3"/>
      <c r="Z70" s="3"/>
    </row>
    <row r="71" ht="14.2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4.25" customHeight="1">
      <c r="A72" s="3" t="s">
        <v>224</v>
      </c>
      <c r="B72" s="75">
        <v>112.69333115384613</v>
      </c>
      <c r="C72" s="3"/>
      <c r="D72" s="3"/>
      <c r="E72" s="3"/>
      <c r="F72" s="3"/>
      <c r="G72" s="3"/>
      <c r="H72" s="3"/>
      <c r="I72" s="3"/>
      <c r="J72" s="3"/>
      <c r="K72" s="3"/>
      <c r="L72" s="3"/>
      <c r="M72" s="3"/>
      <c r="N72" s="3"/>
      <c r="O72" s="3"/>
      <c r="P72" s="3"/>
      <c r="Q72" s="3"/>
      <c r="R72" s="3"/>
      <c r="S72" s="3"/>
      <c r="T72" s="3"/>
      <c r="U72" s="3"/>
      <c r="V72" s="3"/>
      <c r="W72" s="3"/>
      <c r="X72" s="3"/>
      <c r="Y72" s="3"/>
      <c r="Z72" s="3"/>
    </row>
    <row r="73" ht="14.2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4.2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4.2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4.2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4.2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4.2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4.2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4.2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4.2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4.2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4.2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4.2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4.2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4.2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4.2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4.2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4.2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4.2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4.2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4.2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4.2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4.2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4.2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4.2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4.2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4.2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4.2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4.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4.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4.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4.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4.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4.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4.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4.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4.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4.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4.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4.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4.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4.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4.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4.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4.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4.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4.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4.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4.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4.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4.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4.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4.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4.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4.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4.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4.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4.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4.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4.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4.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4.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4.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4.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4.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4.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4.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4.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4.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4.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4.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4.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4.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4.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4.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4.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4.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4.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4.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4.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4.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4.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4.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4.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4.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4.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4.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4.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4.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4.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4.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4.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4.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4.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4.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4.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4.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4.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4.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4.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4.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4.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4.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4.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4.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4.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4.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4.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4.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4.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4.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4.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4.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4.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4.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4.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4.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4.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4.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4.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4.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4.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4.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4.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4.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4.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4.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4.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4.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4.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4.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4.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4.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4.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4.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4.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4.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4.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4.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4.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4.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4.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4.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4.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4.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4.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4.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4.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4.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4.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4.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4.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4.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4.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4.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4.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4.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4.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4.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4.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4.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4.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4.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4.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4.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4.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4.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4.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4.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4.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4.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4.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4.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4.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4.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4.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4.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4.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4.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4.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4.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4.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4.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4.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4.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4.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4.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4.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4.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4.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4.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4.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4.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4.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4.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4.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4.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4.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4.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4.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4.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4.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4.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4.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4.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4.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4.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4.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4.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4.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4.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4.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4.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4.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4.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4.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4.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4.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4.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4.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4.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4.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4.2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4.2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4.2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4.2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4.2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4.2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4.2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4.2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4.2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4.2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4.2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4.2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4.2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4.2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4.2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4.2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4.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4.2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4.2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4.2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4.2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4.2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4.2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4.2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4.2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4.2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4.2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4.2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4.2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4.2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4.2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4.2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4.2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4.2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4.2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4.2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4.2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4.2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4.2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4.2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4.2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4.2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4.2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4.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4.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4.2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4.2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4.2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4.2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4.2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4.2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4.2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4.2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4.2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4.2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4.2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4.2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4.2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4.2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4.2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4.2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4.2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4.2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4.2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4.2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4.2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4.2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4.2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4.2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4.2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4.2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4.2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4.2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4.2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4.2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4.2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4.2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4.2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4.2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4.2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4.2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4.2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4.2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4.2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4.2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4.2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4.2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4.2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4.2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4.2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4.2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4.2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4.2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4.2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4.2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4.2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4.2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4.2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4.2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4.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4.2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4.2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4.2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4.2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4.2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4.2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4.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4.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4.2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4.2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4.2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4.2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4.2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4.2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4.2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4.2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4.2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4.2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4.2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4.2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4.2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4.2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4.2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4.2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4.2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4.2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4.2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4.2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4.2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4.2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4.2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4.2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4.2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4.2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4.2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4.2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4.2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4.2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4.2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4.2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4.2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4.2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4.2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4.2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4.2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4.2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4.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4.2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4.2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4.2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4.2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4.2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4.2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4.2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4.2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4.2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4.2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4.2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4.2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4.2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4.2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4.2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4.2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4.2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4.2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4.2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4.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4.2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4.2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4.2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4.2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4.2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4.2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4.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4.2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4.2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4.2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4.2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4.2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4.2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4.2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4.2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4.2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4.2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4.2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4.2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4.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4.2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4.2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4.2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4.2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4.2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4.2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4.2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4.2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4.2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4.2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4.2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4.2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4.2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4.2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4.2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4.2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4.2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4.2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4.2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4.2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4.2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4.2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4.2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4.2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4.2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4.2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4.2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4.2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4.2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4.2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4.2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4.2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4.2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4.2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4.2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4.2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4.2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4.2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4.2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4.2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4.2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4.2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4.2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4.2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4.2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4.2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4.2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4.2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4.2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4.2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4.2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4.2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4.2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4.2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4.2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4.2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4.2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4.2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4.2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4.2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4.2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4.2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4.2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4.2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4.2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4.2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4.2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4.2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4.2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4.2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4.2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4.2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4.2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4.2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4.2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4.2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4.2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4.2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4.2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4.2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4.2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4.2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4.2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4.2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4.2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4.2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4.2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4.2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4.2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4.2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4.2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4.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4.2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4.2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4.2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4.2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4.2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4.2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4.2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4.2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4.2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4.2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4.2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4.2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4.2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4.2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4.2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4.2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4.2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4.2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4.2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4.2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4.2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4.2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4.2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4.2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4.2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4.2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4.2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4.2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4.2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4.2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4.2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4.2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4.2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4.2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4.2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4.2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4.2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4.2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4.2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4.2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4.2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4.2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4.2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4.2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4.2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4.2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4.2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4.2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4.2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4.2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4.2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4.2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4.2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4.2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4.2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4.2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4.2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4.2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4.2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4.2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4.2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4.2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4.2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4.2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4.2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4.2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4.2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4.2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4.2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4.2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4.2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4.2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4.2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4.2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4.2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4.2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4.2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4.2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4.2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4.2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4.2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4.2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4.2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4.2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4.2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4.2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4.2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4.2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4.2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4.2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4.2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4.2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4.2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4.2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4.2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4.2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4.2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4.2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4.2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4.2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4.2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4.2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4.2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4.2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4.2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4.2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4.2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4.2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4.2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4.2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4.2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4.2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4.2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4.2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4.2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4.2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4.2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4.2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4.2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4.2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4.2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4.2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4.2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4.2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4.2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4.2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4.2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4.2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4.2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4.2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4.2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4.2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4.2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4.2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4.2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4.2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4.2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4.2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4.2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4.2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4.2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4.2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4.2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4.2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4.2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4.2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4.2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4.2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4.2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4.2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4.2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4.2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4.2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4.2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4.2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4.2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4.2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4.2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4.2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4.2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4.2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4.2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4.2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4.2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4.2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4.2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4.2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4.2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4.2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4.2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4.2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4.2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4.2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4.2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4.2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4.2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4.2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4.2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4.2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4.2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4.2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4.2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4.2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4.2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4.2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4.2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4.2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4.2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4.2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4.2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4.2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4.2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4.2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4.2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4.2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4.2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4.2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4.2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4.2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4.2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4.2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4.2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4.2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4.2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4.2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4.2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4.2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4.2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4.2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4.2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4.2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4.2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4.2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4.2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4.2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4.2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4.2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4.2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4.2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4.2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4.2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4.2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4.2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4.2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4.2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4.2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4.2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4.2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4.2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4.2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4.2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4.2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4.2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4.2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4.2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4.2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4.2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4.2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4.2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4.2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4.2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4.2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4.2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4.2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4.2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4.2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4.2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4.2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4.2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4.2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4.2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4.2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4.2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4.2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4.2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4.2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4.2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4.2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4.2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4.2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4.2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4.2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4.2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4.2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4.2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4.2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4.2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4.2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4.2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4.2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4.2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4.2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4.2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4.2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4.2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4.2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4.2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4.2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4.2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4.2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4.2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4.2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4.2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4.2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4.2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4.2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4.2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4.2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4.2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4.2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4.2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4.2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4.2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4.2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4.2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4.2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4.2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4.2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4.2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4.2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4.2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4.2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4.2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4.2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4.2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4.2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4.2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4.2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4.2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4.2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4.2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4.2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4.2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4.2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4.2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4.2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4.2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4.2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4.2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4.2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4.2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4.2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4.2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4.2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4.2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4.2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4.2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4.2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4.2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4.2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4.2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4.2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4.2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4.2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4.2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4.2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4.2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4.2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4.2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4.2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4.2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4.2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4.2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4.2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4.2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4.2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4.2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4.2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4.2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4.2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4.2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4.2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4.2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4.2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4.2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4.2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4.2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4.2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4.2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4.2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4.2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4.2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4.2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4.2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4.2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4.2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4.2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4.2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4.2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4.2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4.2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4.2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4.2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4.2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4.2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4.2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4.2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4.2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4.2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4.2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4.2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4.2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4.2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4.2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4.2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4.2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4.2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4.2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4.2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4.2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4.2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4.2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4.2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4.2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4.2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4.2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4.2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4.2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4.2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4.2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4.2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4.2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4.2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4.2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4.2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4.2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4.2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4.2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4.2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4.2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4.2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4.2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4.2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4.2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4.2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4.2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4.2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4.2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4.2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4.2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4.2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4.2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4.2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4.2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cp:coreProperties>
</file>