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AE29A196-94F5-4ACB-8890-15F0A020478C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Instructions" sheetId="1" r:id="rId1"/>
    <sheet name="Financial Statements" sheetId="2" r:id="rId2"/>
    <sheet name="List of Rati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5" i="3" l="1"/>
  <c r="I46" i="3" s="1"/>
  <c r="E75" i="3"/>
  <c r="D75" i="3"/>
  <c r="C75" i="3"/>
  <c r="E74" i="3"/>
  <c r="D74" i="3"/>
  <c r="C74" i="3"/>
  <c r="E73" i="3"/>
  <c r="D73" i="3"/>
  <c r="C73" i="3"/>
  <c r="E71" i="3"/>
  <c r="D71" i="3"/>
  <c r="C71" i="3"/>
  <c r="E70" i="3"/>
  <c r="D70" i="3"/>
  <c r="C70" i="3"/>
  <c r="G69" i="3"/>
  <c r="E69" i="3"/>
  <c r="D69" i="3"/>
  <c r="C69" i="3"/>
  <c r="G68" i="3"/>
  <c r="E68" i="3"/>
  <c r="D68" i="3"/>
  <c r="C68" i="3"/>
  <c r="E66" i="3"/>
  <c r="D66" i="3"/>
  <c r="C66" i="3"/>
  <c r="E65" i="3"/>
  <c r="D65" i="3"/>
  <c r="C65" i="3"/>
  <c r="E62" i="3"/>
  <c r="D62" i="3"/>
  <c r="C62" i="3"/>
  <c r="E61" i="3"/>
  <c r="D61" i="3"/>
  <c r="C61" i="3"/>
  <c r="E60" i="3"/>
  <c r="D60" i="3"/>
  <c r="C60" i="3"/>
  <c r="H58" i="3"/>
  <c r="E58" i="3"/>
  <c r="D58" i="3"/>
  <c r="C58" i="3"/>
  <c r="E57" i="3"/>
  <c r="D57" i="3"/>
  <c r="C57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E51" i="3"/>
  <c r="D51" i="3"/>
  <c r="C51" i="3"/>
  <c r="H50" i="3"/>
  <c r="D49" i="3"/>
  <c r="C49" i="3"/>
  <c r="A49" i="3"/>
  <c r="E48" i="3"/>
  <c r="D48" i="3"/>
  <c r="C48" i="3"/>
  <c r="E47" i="3"/>
  <c r="D47" i="3"/>
  <c r="C47" i="3"/>
  <c r="A47" i="3"/>
  <c r="G46" i="3"/>
  <c r="D46" i="3"/>
  <c r="H45" i="3"/>
  <c r="H46" i="3" s="1"/>
  <c r="G45" i="3"/>
  <c r="E45" i="3"/>
  <c r="E46" i="3" s="1"/>
  <c r="D45" i="3"/>
  <c r="D44" i="3" s="1"/>
  <c r="C45" i="3"/>
  <c r="C46" i="3" s="1"/>
  <c r="E43" i="3"/>
  <c r="E42" i="3" s="1"/>
  <c r="D43" i="3"/>
  <c r="D42" i="3" s="1"/>
  <c r="C43" i="3"/>
  <c r="C42" i="3"/>
  <c r="E41" i="3"/>
  <c r="I40" i="3" s="1"/>
  <c r="D41" i="3"/>
  <c r="D40" i="3" s="1"/>
  <c r="C41" i="3"/>
  <c r="C40" i="3" s="1"/>
  <c r="E40" i="3"/>
  <c r="E37" i="3"/>
  <c r="E49" i="3" s="1"/>
  <c r="D37" i="3"/>
  <c r="C37" i="3"/>
  <c r="I36" i="3"/>
  <c r="H36" i="3"/>
  <c r="G36" i="3"/>
  <c r="E36" i="3"/>
  <c r="D36" i="3"/>
  <c r="C36" i="3"/>
  <c r="E35" i="3"/>
  <c r="D35" i="3"/>
  <c r="C35" i="3"/>
  <c r="E34" i="3"/>
  <c r="D34" i="3"/>
  <c r="C34" i="3"/>
  <c r="E31" i="3"/>
  <c r="D31" i="3"/>
  <c r="C31" i="3"/>
  <c r="E30" i="3"/>
  <c r="D30" i="3"/>
  <c r="C30" i="3"/>
  <c r="H29" i="3"/>
  <c r="E29" i="3"/>
  <c r="D29" i="3"/>
  <c r="C29" i="3"/>
  <c r="I28" i="3"/>
  <c r="E27" i="3"/>
  <c r="D27" i="3"/>
  <c r="C27" i="3"/>
  <c r="E26" i="3"/>
  <c r="D26" i="3"/>
  <c r="C26" i="3"/>
  <c r="E25" i="3"/>
  <c r="D25" i="3"/>
  <c r="C25" i="3"/>
  <c r="E22" i="3"/>
  <c r="D22" i="3"/>
  <c r="C22" i="3"/>
  <c r="I21" i="3"/>
  <c r="E21" i="3"/>
  <c r="E28" i="3" s="1"/>
  <c r="D21" i="3"/>
  <c r="D28" i="3" s="1"/>
  <c r="C21" i="3"/>
  <c r="C28" i="3" s="1"/>
  <c r="I20" i="3"/>
  <c r="H20" i="3"/>
  <c r="E20" i="3"/>
  <c r="D20" i="3"/>
  <c r="C20" i="3"/>
  <c r="D19" i="3"/>
  <c r="D50" i="3" s="1"/>
  <c r="C19" i="3"/>
  <c r="G50" i="3" s="1"/>
  <c r="D18" i="3"/>
  <c r="C18" i="3"/>
  <c r="E17" i="3"/>
  <c r="D17" i="3"/>
  <c r="C17" i="3"/>
  <c r="A17" i="3"/>
  <c r="A18" i="3" s="1"/>
  <c r="A20" i="3" s="1"/>
  <c r="A22" i="3" s="1"/>
  <c r="A16" i="3"/>
  <c r="A24" i="3" s="1"/>
  <c r="G14" i="3"/>
  <c r="E14" i="3"/>
  <c r="D14" i="3"/>
  <c r="C14" i="3"/>
  <c r="E13" i="3"/>
  <c r="D13" i="3"/>
  <c r="C13" i="3"/>
  <c r="I11" i="3"/>
  <c r="H11" i="3"/>
  <c r="G11" i="3"/>
  <c r="E11" i="3"/>
  <c r="D11" i="3"/>
  <c r="C11" i="3"/>
  <c r="E10" i="3"/>
  <c r="D10" i="3"/>
  <c r="C10" i="3"/>
  <c r="E9" i="3"/>
  <c r="I12" i="3" s="1"/>
  <c r="D9" i="3"/>
  <c r="H12" i="3" s="1"/>
  <c r="C9" i="3"/>
  <c r="G12" i="3" s="1"/>
  <c r="E8" i="3"/>
  <c r="D8" i="3"/>
  <c r="C8" i="3"/>
  <c r="I7" i="3"/>
  <c r="H7" i="3"/>
  <c r="G7" i="3"/>
  <c r="E7" i="3"/>
  <c r="D7" i="3"/>
  <c r="C7" i="3"/>
  <c r="H6" i="3"/>
  <c r="E6" i="3"/>
  <c r="D6" i="3"/>
  <c r="C6" i="3"/>
  <c r="I5" i="3"/>
  <c r="H5" i="3"/>
  <c r="E5" i="3"/>
  <c r="D5" i="3"/>
  <c r="C5" i="3"/>
  <c r="A5" i="3"/>
  <c r="A6" i="3" s="1"/>
  <c r="A7" i="3" s="1"/>
  <c r="A8" i="3" s="1"/>
  <c r="A9" i="3" s="1"/>
  <c r="A10" i="3" s="1"/>
  <c r="A11" i="3" s="1"/>
  <c r="A12" i="3" s="1"/>
  <c r="A13" i="3" s="1"/>
  <c r="E3" i="3"/>
  <c r="D3" i="3"/>
  <c r="C3" i="3"/>
  <c r="D108" i="2"/>
  <c r="C108" i="2"/>
  <c r="B108" i="2"/>
  <c r="D99" i="2"/>
  <c r="C99" i="2"/>
  <c r="B99" i="2"/>
  <c r="D73" i="2"/>
  <c r="C73" i="2"/>
  <c r="D68" i="2"/>
  <c r="I27" i="3" s="1"/>
  <c r="C68" i="2"/>
  <c r="H43" i="3" s="1"/>
  <c r="B68" i="2"/>
  <c r="G43" i="3" s="1"/>
  <c r="C62" i="2"/>
  <c r="B62" i="2"/>
  <c r="G61" i="3" s="1"/>
  <c r="D61" i="2"/>
  <c r="D62" i="2" s="1"/>
  <c r="I51" i="3" s="1"/>
  <c r="C61" i="2"/>
  <c r="B61" i="2"/>
  <c r="D56" i="2"/>
  <c r="I6" i="3" s="1"/>
  <c r="C56" i="2"/>
  <c r="B56" i="2"/>
  <c r="G6" i="3" s="1"/>
  <c r="D48" i="2"/>
  <c r="I60" i="3" s="1"/>
  <c r="C48" i="2"/>
  <c r="H60" i="3" s="1"/>
  <c r="B48" i="2"/>
  <c r="G34" i="3" s="1"/>
  <c r="D47" i="2"/>
  <c r="I75" i="3" s="1"/>
  <c r="C47" i="2"/>
  <c r="H75" i="3" s="1"/>
  <c r="B47" i="2"/>
  <c r="G75" i="3" s="1"/>
  <c r="D42" i="2"/>
  <c r="I14" i="3" s="1"/>
  <c r="C42" i="2"/>
  <c r="H14" i="3" s="1"/>
  <c r="B42" i="2"/>
  <c r="G8" i="3" s="1"/>
  <c r="D33" i="2"/>
  <c r="C33" i="2"/>
  <c r="B33" i="2"/>
  <c r="B73" i="2" s="1"/>
  <c r="D17" i="2"/>
  <c r="I58" i="3" s="1"/>
  <c r="C17" i="2"/>
  <c r="B17" i="2"/>
  <c r="G58" i="3" s="1"/>
  <c r="D13" i="2"/>
  <c r="I66" i="3" s="1"/>
  <c r="C13" i="2"/>
  <c r="H66" i="3" s="1"/>
  <c r="B13" i="2"/>
  <c r="G66" i="3" s="1"/>
  <c r="D12" i="2"/>
  <c r="I65" i="3" s="1"/>
  <c r="C12" i="2"/>
  <c r="H65" i="3" s="1"/>
  <c r="B12" i="2"/>
  <c r="G29" i="3" s="1"/>
  <c r="D8" i="2"/>
  <c r="I68" i="3" s="1"/>
  <c r="C8" i="2"/>
  <c r="H68" i="3" s="1"/>
  <c r="B8" i="2"/>
  <c r="G74" i="3" s="1"/>
  <c r="H61" i="3" l="1"/>
  <c r="A33" i="3"/>
  <c r="A25" i="3"/>
  <c r="A26" i="3" s="1"/>
  <c r="A27" i="3" s="1"/>
  <c r="A28" i="3" s="1"/>
  <c r="A29" i="3" s="1"/>
  <c r="A30" i="3" s="1"/>
  <c r="I43" i="3"/>
  <c r="C69" i="2"/>
  <c r="H26" i="3" s="1"/>
  <c r="H13" i="3"/>
  <c r="I29" i="3"/>
  <c r="G40" i="3"/>
  <c r="D69" i="2"/>
  <c r="I26" i="3" s="1"/>
  <c r="H8" i="3"/>
  <c r="C12" i="3"/>
  <c r="I13" i="3"/>
  <c r="G17" i="3"/>
  <c r="E19" i="3"/>
  <c r="H40" i="3"/>
  <c r="C44" i="3"/>
  <c r="B69" i="2"/>
  <c r="G26" i="3" s="1"/>
  <c r="B18" i="2"/>
  <c r="I8" i="3"/>
  <c r="G10" i="3"/>
  <c r="D12" i="3"/>
  <c r="H17" i="3"/>
  <c r="G19" i="3"/>
  <c r="G35" i="3"/>
  <c r="G42" i="3"/>
  <c r="G13" i="3"/>
  <c r="C18" i="2"/>
  <c r="G5" i="3"/>
  <c r="H10" i="3"/>
  <c r="E12" i="3"/>
  <c r="I17" i="3"/>
  <c r="H19" i="3"/>
  <c r="G21" i="3"/>
  <c r="G28" i="3"/>
  <c r="H35" i="3"/>
  <c r="H42" i="3"/>
  <c r="E44" i="3"/>
  <c r="G51" i="3"/>
  <c r="G57" i="3"/>
  <c r="G60" i="3"/>
  <c r="G62" i="3"/>
  <c r="D18" i="2"/>
  <c r="I10" i="3"/>
  <c r="I19" i="3"/>
  <c r="H21" i="3"/>
  <c r="H28" i="3"/>
  <c r="I35" i="3"/>
  <c r="I42" i="3"/>
  <c r="H51" i="3"/>
  <c r="H57" i="3"/>
  <c r="H62" i="3"/>
  <c r="H69" i="3"/>
  <c r="H74" i="3"/>
  <c r="I57" i="3"/>
  <c r="I62" i="3"/>
  <c r="I69" i="3"/>
  <c r="I74" i="3"/>
  <c r="G25" i="3"/>
  <c r="C50" i="3"/>
  <c r="G9" i="3"/>
  <c r="H25" i="3"/>
  <c r="G48" i="3"/>
  <c r="H9" i="3"/>
  <c r="G18" i="3"/>
  <c r="I25" i="3"/>
  <c r="G27" i="3"/>
  <c r="H34" i="3"/>
  <c r="H48" i="3"/>
  <c r="I9" i="3"/>
  <c r="H18" i="3"/>
  <c r="G20" i="3"/>
  <c r="H27" i="3"/>
  <c r="I34" i="3"/>
  <c r="I48" i="3"/>
  <c r="G56" i="3"/>
  <c r="G65" i="3"/>
  <c r="I18" i="3"/>
  <c r="H56" i="3"/>
  <c r="I56" i="3"/>
  <c r="E50" i="3" l="1"/>
  <c r="E18" i="3"/>
  <c r="I50" i="3"/>
  <c r="A39" i="3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  <c r="G70" i="3"/>
  <c r="B20" i="2"/>
  <c r="I70" i="3"/>
  <c r="D20" i="2"/>
  <c r="H70" i="3"/>
  <c r="C20" i="2"/>
  <c r="I73" i="3" l="1"/>
  <c r="I61" i="3"/>
  <c r="D22" i="2"/>
  <c r="H73" i="3"/>
  <c r="C22" i="2"/>
  <c r="G73" i="3"/>
  <c r="B22" i="2"/>
  <c r="G22" i="3" l="1"/>
  <c r="G41" i="3"/>
  <c r="G44" i="3" s="1"/>
  <c r="B76" i="2"/>
  <c r="H41" i="3"/>
  <c r="H44" i="3" s="1"/>
  <c r="C76" i="2"/>
  <c r="H22" i="3"/>
  <c r="I41" i="3"/>
  <c r="I44" i="3" s="1"/>
  <c r="D76" i="2"/>
  <c r="I22" i="3"/>
  <c r="D91" i="2" l="1"/>
  <c r="I37" i="3"/>
  <c r="I71" i="3"/>
  <c r="I49" i="3"/>
  <c r="I47" i="3"/>
  <c r="C91" i="2"/>
  <c r="H37" i="3"/>
  <c r="H71" i="3"/>
  <c r="H49" i="3"/>
  <c r="H47" i="3"/>
  <c r="B91" i="2"/>
  <c r="G37" i="3"/>
  <c r="G71" i="3"/>
  <c r="G49" i="3"/>
  <c r="G47" i="3"/>
  <c r="B109" i="2" l="1"/>
  <c r="G30" i="3"/>
  <c r="G31" i="3"/>
  <c r="H30" i="3"/>
  <c r="C109" i="2"/>
  <c r="H31" i="3"/>
  <c r="I30" i="3"/>
  <c r="D109" i="2"/>
  <c r="I31" i="3"/>
</calcChain>
</file>

<file path=xl/sharedStrings.xml><?xml version="1.0" encoding="utf-8"?>
<sst xmlns="http://schemas.openxmlformats.org/spreadsheetml/2006/main" count="205" uniqueCount="166">
  <si>
    <t>Instructions</t>
  </si>
  <si>
    <t>Sheet contains the financial statements of Apple Inc. extracted from the most recent annual report:</t>
  </si>
  <si>
    <t>https://investor.apple.com/investor-relations/default.aspx</t>
  </si>
  <si>
    <t>You are required to perform a ratio analysis in excel using the information provided from this financial statements</t>
  </si>
  <si>
    <t>The ratios that should be calculated are listed in the ratios tab</t>
  </si>
  <si>
    <t>In addition to the above, you are required to calculate the growth rates for the following:</t>
  </si>
  <si>
    <t>Sales (each category and net sales)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</si>
  <si>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</si>
  <si>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</si>
  <si>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</si>
  <si>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</si>
  <si>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COGS (Cost of goods sold)</t>
  </si>
  <si>
    <t>Operating income</t>
  </si>
  <si>
    <t>Net profit</t>
  </si>
  <si>
    <t>You are required to calculate the following additional items</t>
  </si>
  <si>
    <t>Income tax rate</t>
  </si>
  <si>
    <t>Capex as a percentage of sales</t>
  </si>
  <si>
    <t>Capex as a percentage of fixed assets</t>
  </si>
  <si>
    <t>* Market information like share price should be obtained from bloomberg.com from the particular day's closing price</t>
  </si>
  <si>
    <t>https://www.bloomberg.com/quote/AAPL:US</t>
  </si>
  <si>
    <t>All of the above ratios should be calculated in the "List of Ratios" tab</t>
  </si>
  <si>
    <t>Apple Inc.</t>
  </si>
  <si>
    <t>(In millions, except number of shares which are reflected in thousands and per share amounts)</t>
  </si>
  <si>
    <t>CONSOLIDATED STATEMENTS OF OPERATIONS</t>
  </si>
  <si>
    <t>Years ended September,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</si>
  <si>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</si>
  <si>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</si>
  <si>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</si>
  <si>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</si>
  <si>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</si>
  <si>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</si>
  <si>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</si>
  <si>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</si>
  <si>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</si>
  <si>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</si>
  <si>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</si>
  <si>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</si>
  <si>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</si>
  <si>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</si>
  <si>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</si>
  <si>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</si>
  <si>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</si>
  <si>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</si>
  <si>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</si>
  <si>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CONSOLIDATED BALANCE SHEETS</t>
  </si>
  <si>
    <t>As at September,</t>
  </si>
  <si>
    <t>Current assets:</t>
  </si>
  <si>
    <t>Cash and cash equivalents</t>
  </si>
  <si>
    <t>Marketable securities</t>
  </si>
  <si>
    <t>Accounts receivable, net</t>
  </si>
  <si>
    <t>Inventories</t>
  </si>
  <si>
    <t>Vendor non trade receivables</t>
  </si>
  <si>
    <t>Other current assets</t>
  </si>
  <si>
    <t>Total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</si>
  <si>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</si>
  <si>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</si>
  <si>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</si>
  <si>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</si>
  <si>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</si>
  <si>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</si>
  <si>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</si>
  <si>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</si>
  <si>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</si>
  <si>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</si>
  <si>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</si>
  <si>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</si>
  <si>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Non current liabilities:</t>
  </si>
  <si>
    <t>Other non current liabilities</t>
  </si>
  <si>
    <t>Total non current liabilities</t>
  </si>
  <si>
    <t>Total liabilities</t>
  </si>
  <si>
    <t>Shareholders’ equity:</t>
  </si>
  <si>
    <t>Common stock and additional paid in capital, $0.00001 par value: 12,600,000 shares authorized; 4,443,236 and 4,754,986 shares issued and outstanding, respectively</t>
  </si>
  <si>
    <t>Retained earnings</t>
  </si>
  <si>
    <t>Accumulated other comprehensive income/(loss)</t>
  </si>
  <si>
    <t>Total shareholders’ equity</t>
  </si>
  <si>
    <t>Total liabilities and shareholders’ equity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</si>
  <si>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</si>
  <si>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</si>
  <si>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</si>
  <si>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</si>
  <si>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</si>
  <si>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</si>
  <si>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</si>
  <si>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</si>
  <si>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</si>
  <si>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Other current and non current assets</t>
  </si>
  <si>
    <t>Other current and non 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</si>
  <si>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</si>
  <si>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</si>
  <si>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</si>
  <si>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</si>
  <si>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</si>
  <si>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</si>
  <si>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</si>
  <si>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</si>
  <si>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</si>
  <si>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taxes related to net share settlement of 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</si>
  <si>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</si>
  <si>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</si>
  <si>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</si>
  <si>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</si>
  <si>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</si>
  <si>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</si>
  <si>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</si>
  <si>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</si>
  <si>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</si>
  <si>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</si>
  <si>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</si>
  <si>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Feedback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</si>
  <si>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</si>
  <si>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</si>
  <si>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</si>
  <si>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</si>
  <si>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</si>
  <si>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</si>
  <si>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</si>
  <si>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</si>
  <si>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</si>
  <si>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</si>
  <si>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</si>
  <si>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</si>
  <si>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</si>
  <si>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</si>
  <si>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</si>
  <si>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</si>
  <si>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</si>
  <si>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</si>
  <si>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</si>
  <si>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</si>
  <si>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</si>
  <si>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</si>
  <si>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</si>
  <si>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</si>
  <si>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</si>
  <si>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</si>
  <si>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</si>
  <si>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</si>
  <si>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</si>
  <si>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</si>
  <si>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</si>
  <si>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</si>
  <si>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</si>
  <si>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</si>
  <si>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</si>
  <si>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</si>
  <si>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</si>
  <si>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</si>
  <si>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</si>
  <si>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</si>
  <si>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</si>
  <si>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</si>
  <si>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Growth Rates (%)</t>
  </si>
  <si>
    <t>Product</t>
  </si>
  <si>
    <t>Net sales</t>
  </si>
  <si>
    <t>Operating expenses</t>
  </si>
  <si>
    <t>_</t>
  </si>
  <si>
    <t>Total Assets</t>
  </si>
  <si>
    <t>Total Liabilities</t>
  </si>
  <si>
    <t>Total Shareholders’ equity</t>
  </si>
  <si>
    <t>Percentages of net sales (%)</t>
  </si>
  <si>
    <t>Income tax rate (effective %)</t>
  </si>
  <si>
    <t>CapEx as a percentage of sales</t>
  </si>
  <si>
    <t>CapEx as a percentage of fixed assets</t>
  </si>
  <si>
    <t>Link the BV from below</t>
  </si>
  <si>
    <t>Link capex with - sign to remove negative sign from capex in cash flow</t>
  </si>
  <si>
    <t>Remove multiplication by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</si>
</sst>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0.0"/>
    <numFmt numFmtId="167" formatCode="0.0000"/>
  </numFmts>
  <fonts count="11" x14ac:knownFonts="1">
    <font>
      <sz val="11"/>
      <color rgb="FF000000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ADB9CA"/>
        <bgColor rgb="FF99CCFF"/>
      </patternFill>
    </fill>
    <fill>
      <patternFill patternType="solid">
        <fgColor rgb="FFE2F0D9"/>
        <bgColor rgb="FFFFFFCC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164" fontId="10" fillId="0" borderId="0" applyBorder="0" applyProtection="0"/>
    <xf numFmtId="9" fontId="9" fillId="0" borderId="0" applyBorder="0" applyProtection="0"/>
    <xf numFmtId="0" fontId="3" fillId="0" borderId="0" applyBorder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0" fontId="3" fillId="0" borderId="0" xfId="3" applyBorder="1" applyAlignment="1" applyProtection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2" fillId="0" borderId="0" xfId="0" applyFont="1" applyAlignment="1">
      <alignment horizontal="center"/>
    </xf>
    <xf numFmtId="165" fontId="10" fillId="0" borderId="0" xfId="1" applyNumberFormat="1" applyBorder="1" applyProtection="1"/>
    <xf numFmtId="0" fontId="2" fillId="0" borderId="1" xfId="0" applyFont="1" applyBorder="1"/>
    <xf numFmtId="165" fontId="2" fillId="0" borderId="1" xfId="1" applyNumberFormat="1" applyFont="1" applyBorder="1" applyProtection="1"/>
    <xf numFmtId="0" fontId="2" fillId="0" borderId="2" xfId="0" applyFont="1" applyBorder="1"/>
    <xf numFmtId="165" fontId="2" fillId="0" borderId="2" xfId="1" applyNumberFormat="1" applyFont="1" applyBorder="1" applyProtection="1"/>
    <xf numFmtId="0" fontId="0" fillId="4" borderId="0" xfId="0" applyFill="1"/>
    <xf numFmtId="3" fontId="0" fillId="0" borderId="0" xfId="0" applyNumberFormat="1"/>
    <xf numFmtId="0" fontId="2" fillId="0" borderId="3" xfId="0" applyFont="1" applyBorder="1" applyAlignment="1">
      <alignment horizontal="left"/>
    </xf>
    <xf numFmtId="165" fontId="10" fillId="0" borderId="3" xfId="1" applyNumberFormat="1" applyBorder="1" applyProtection="1"/>
    <xf numFmtId="165" fontId="2" fillId="0" borderId="0" xfId="1" applyNumberFormat="1" applyFont="1" applyBorder="1" applyProtection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6" fontId="0" fillId="0" borderId="0" xfId="0" applyNumberFormat="1"/>
    <xf numFmtId="2" fontId="0" fillId="0" borderId="0" xfId="0" applyNumberFormat="1"/>
    <xf numFmtId="164" fontId="10" fillId="0" borderId="0" xfId="1" applyBorder="1" applyProtection="1"/>
    <xf numFmtId="165" fontId="0" fillId="0" borderId="0" xfId="0" applyNumberFormat="1"/>
    <xf numFmtId="0" fontId="7" fillId="0" borderId="0" xfId="0" applyFont="1"/>
    <xf numFmtId="0" fontId="8" fillId="0" borderId="0" xfId="0" applyFont="1"/>
    <xf numFmtId="167" fontId="0" fillId="0" borderId="4" xfId="0" applyNumberFormat="1" applyBorder="1"/>
    <xf numFmtId="9" fontId="9" fillId="0" borderId="0" xfId="2" applyBorder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3" zoomScale="110" zoomScaleNormal="110" workbookViewId="0">
      <selection activeCell="B4" sqref="B4"/>
    </sheetView>
  </sheetViews>
  <sheetFormatPr defaultColWidth="8.88671875" defaultRowHeight="14.4" x14ac:dyDescent="0.3"/>
  <cols>
    <col min="1" max="1" width="104.5546875" customWidth="1"/>
  </cols>
  <sheetData>
    <row r="1" spans="1:1" ht="23.4" x14ac:dyDescent="0.45">
      <c r="A1" s="3" t="s">
        <v>0</v>
      </c>
    </row>
    <row r="3" spans="1:1" x14ac:dyDescent="0.3">
      <c r="A3" s="4" t="s">
        <v>1</v>
      </c>
    </row>
    <row r="4" spans="1:1" x14ac:dyDescent="0.3">
      <c r="A4" s="5" t="s">
        <v>2</v>
      </c>
    </row>
    <row r="5" spans="1:1" x14ac:dyDescent="0.3">
      <c r="A5" s="4" t="s">
        <v>3</v>
      </c>
    </row>
    <row r="6" spans="1:1" x14ac:dyDescent="0.3">
      <c r="A6" s="6" t="s">
        <v>4</v>
      </c>
    </row>
    <row r="7" spans="1:1" x14ac:dyDescent="0.3">
      <c r="A7" s="6"/>
    </row>
    <row r="8" spans="1:1" x14ac:dyDescent="0.3">
      <c r="A8" s="7" t="s">
        <v>5</v>
      </c>
    </row>
    <row r="9" spans="1:1" x14ac:dyDescent="0.3">
      <c r="A9" s="6" t="s">
        <v>6</v>
      </c>
    </row>
    <row r="10" spans="1:1" x14ac:dyDescent="0.3">
      <c r="A10" s="6" t="s">
        <v>7</v>
      </c>
    </row>
    <row r="11" spans="1:1" x14ac:dyDescent="0.3">
      <c r="A11" s="6" t="s">
        <v>8</v>
      </c>
    </row>
    <row r="12" spans="1:1" x14ac:dyDescent="0.3">
      <c r="A12" s="6" t="s">
        <v>9</v>
      </c>
    </row>
    <row r="13" spans="1:1" x14ac:dyDescent="0.3">
      <c r="A13" s="6"/>
    </row>
    <row r="14" spans="1:1" x14ac:dyDescent="0.3">
      <c r="A14" s="7" t="s">
        <v>10</v>
      </c>
    </row>
    <row r="15" spans="1:1" x14ac:dyDescent="0.3">
      <c r="A15" s="6" t="s">
        <v>11</v>
      </c>
    </row>
    <row r="16" spans="1:1" x14ac:dyDescent="0.3">
      <c r="A16" s="6" t="s">
        <v>7</v>
      </c>
    </row>
    <row r="17" spans="1:1" x14ac:dyDescent="0.3">
      <c r="A17" s="6" t="s">
        <v>8</v>
      </c>
    </row>
    <row r="18" spans="1:1" x14ac:dyDescent="0.3">
      <c r="A18" s="6" t="s">
        <v>12</v>
      </c>
    </row>
    <row r="19" spans="1:1" x14ac:dyDescent="0.3">
      <c r="A19" s="6" t="s">
        <v>13</v>
      </c>
    </row>
    <row r="20" spans="1:1" x14ac:dyDescent="0.3">
      <c r="A20" s="6"/>
    </row>
    <row r="21" spans="1:1" x14ac:dyDescent="0.3">
      <c r="A21" s="7" t="s">
        <v>14</v>
      </c>
    </row>
    <row r="22" spans="1:1" x14ac:dyDescent="0.3">
      <c r="A22" s="6" t="s">
        <v>15</v>
      </c>
    </row>
    <row r="23" spans="1:1" x14ac:dyDescent="0.3">
      <c r="A23" s="6" t="s">
        <v>16</v>
      </c>
    </row>
    <row r="24" spans="1:1" x14ac:dyDescent="0.3">
      <c r="A24" s="6" t="s">
        <v>17</v>
      </c>
    </row>
    <row r="25" spans="1:1" x14ac:dyDescent="0.3">
      <c r="A25" s="6"/>
    </row>
    <row r="26" spans="1:1" x14ac:dyDescent="0.3">
      <c r="A26" s="7" t="s">
        <v>18</v>
      </c>
    </row>
    <row r="27" spans="1:1" x14ac:dyDescent="0.3">
      <c r="A27" s="5" t="s">
        <v>19</v>
      </c>
    </row>
    <row r="29" spans="1:1" x14ac:dyDescent="0.3">
      <c r="A29" s="4" t="s">
        <v>20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22" zoomScale="110" zoomScaleNormal="110" workbookViewId="0">
      <selection activeCell="B36" sqref="B36"/>
    </sheetView>
  </sheetViews>
  <sheetFormatPr defaultColWidth="8.88671875" defaultRowHeight="14.4" x14ac:dyDescent="0.3"/>
  <cols>
    <col min="1" max="1" width="59" customWidth="1"/>
    <col min="2" max="3" width="11.5546875" customWidth="1"/>
    <col min="4" max="4" width="11.6640625" customWidth="1"/>
  </cols>
  <sheetData>
    <row r="1" spans="1:10" ht="60" customHeight="1" x14ac:dyDescent="0.3">
      <c r="A1" s="8" t="s">
        <v>21</v>
      </c>
      <c r="B1" s="9" t="s">
        <v>22</v>
      </c>
      <c r="C1" s="9"/>
      <c r="D1" s="9"/>
      <c r="E1" s="9"/>
      <c r="F1" s="9"/>
      <c r="G1" s="9"/>
      <c r="H1" s="9"/>
      <c r="I1" s="9"/>
      <c r="J1" s="9"/>
    </row>
    <row r="2" spans="1:10" x14ac:dyDescent="0.3">
      <c r="A2" s="2" t="s">
        <v>23</v>
      </c>
      <c r="B2" s="2"/>
      <c r="C2" s="2"/>
      <c r="D2" s="2"/>
    </row>
    <row r="3" spans="1:10" x14ac:dyDescent="0.3">
      <c r="B3" s="1" t="s">
        <v>24</v>
      </c>
      <c r="C3" s="1"/>
      <c r="D3" s="1"/>
    </row>
    <row r="4" spans="1:10" x14ac:dyDescent="0.3">
      <c r="B4" s="4">
        <v>2022</v>
      </c>
      <c r="C4" s="4">
        <v>2021</v>
      </c>
      <c r="D4" s="4">
        <v>2020</v>
      </c>
    </row>
    <row r="5" spans="1:10" x14ac:dyDescent="0.3">
      <c r="A5" t="s">
        <v>25</v>
      </c>
    </row>
    <row r="6" spans="1:10" x14ac:dyDescent="0.3">
      <c r="A6" s="6" t="s">
        <v>26</v>
      </c>
      <c r="B6" s="11">
        <v>316199</v>
      </c>
      <c r="C6" s="11">
        <v>297392</v>
      </c>
      <c r="D6" s="11">
        <v>220747</v>
      </c>
    </row>
    <row r="7" spans="1:10" x14ac:dyDescent="0.3">
      <c r="A7" s="6" t="s">
        <v>27</v>
      </c>
      <c r="B7" s="11">
        <v>78129</v>
      </c>
      <c r="C7" s="11">
        <v>68425</v>
      </c>
      <c r="D7" s="11">
        <v>53768</v>
      </c>
    </row>
    <row r="8" spans="1:10" x14ac:dyDescent="0.3">
      <c r="A8" s="12" t="s">
        <v>28</v>
      </c>
      <c r="B8" s="13">
        <f>+B6+B7</f>
        <v>394328</v>
      </c>
      <c r="C8" s="13">
        <f>+C6+C7</f>
        <v>365817</v>
      </c>
      <c r="D8" s="13">
        <f>+D6+D7</f>
        <v>274515</v>
      </c>
    </row>
    <row r="9" spans="1:10" x14ac:dyDescent="0.3">
      <c r="A9" t="s">
        <v>29</v>
      </c>
      <c r="B9" s="11"/>
      <c r="C9" s="11"/>
      <c r="D9" s="11"/>
    </row>
    <row r="10" spans="1:10" x14ac:dyDescent="0.3">
      <c r="A10" s="6" t="s">
        <v>26</v>
      </c>
      <c r="B10" s="11">
        <v>201471</v>
      </c>
      <c r="C10" s="11">
        <v>192266</v>
      </c>
      <c r="D10" s="11">
        <v>151286</v>
      </c>
    </row>
    <row r="11" spans="1:10" x14ac:dyDescent="0.3">
      <c r="A11" s="6" t="s">
        <v>27</v>
      </c>
      <c r="B11" s="11">
        <v>22075</v>
      </c>
      <c r="C11" s="11">
        <v>20715</v>
      </c>
      <c r="D11" s="11">
        <v>18273</v>
      </c>
    </row>
    <row r="12" spans="1:10" x14ac:dyDescent="0.3">
      <c r="A12" s="12" t="s">
        <v>30</v>
      </c>
      <c r="B12" s="13">
        <f>+B10+B11</f>
        <v>223546</v>
      </c>
      <c r="C12" s="13">
        <f>+C10+C11</f>
        <v>212981</v>
      </c>
      <c r="D12" s="13">
        <f>+D10+D11</f>
        <v>169559</v>
      </c>
    </row>
    <row r="13" spans="1:10" x14ac:dyDescent="0.3">
      <c r="A13" s="12" t="s">
        <v>31</v>
      </c>
      <c r="B13" s="13">
        <f>+B8-B12</f>
        <v>170782</v>
      </c>
      <c r="C13" s="13">
        <f>+C8-C12</f>
        <v>152836</v>
      </c>
      <c r="D13" s="13">
        <f>+D8-D12</f>
        <v>104956</v>
      </c>
    </row>
    <row r="14" spans="1:10" x14ac:dyDescent="0.3">
      <c r="A14" t="s">
        <v>32</v>
      </c>
      <c r="B14" s="11"/>
      <c r="C14" s="11"/>
      <c r="D14" s="11"/>
    </row>
    <row r="15" spans="1:10" x14ac:dyDescent="0.3">
      <c r="A15" s="6" t="s">
        <v>33</v>
      </c>
      <c r="B15" s="11">
        <v>26251</v>
      </c>
      <c r="C15" s="11">
        <v>21914</v>
      </c>
      <c r="D15" s="11">
        <v>18752</v>
      </c>
    </row>
    <row r="16" spans="1:10" x14ac:dyDescent="0.3">
      <c r="A16" s="6" t="s">
        <v>34</v>
      </c>
      <c r="B16" s="11">
        <v>25094</v>
      </c>
      <c r="C16" s="11">
        <v>21973</v>
      </c>
      <c r="D16" s="11">
        <v>19916</v>
      </c>
    </row>
    <row r="17" spans="1:4" x14ac:dyDescent="0.3">
      <c r="A17" s="12" t="s">
        <v>35</v>
      </c>
      <c r="B17" s="13">
        <f>+B15+B16</f>
        <v>51345</v>
      </c>
      <c r="C17" s="13">
        <f>+C15+C16</f>
        <v>43887</v>
      </c>
      <c r="D17" s="13">
        <f>+D15+D16</f>
        <v>38668</v>
      </c>
    </row>
    <row r="18" spans="1:4" s="4" customFormat="1" x14ac:dyDescent="0.3">
      <c r="A18" s="12" t="s">
        <v>12</v>
      </c>
      <c r="B18" s="13">
        <f>+B13-B17</f>
        <v>119437</v>
      </c>
      <c r="C18" s="13">
        <f>+C13-C17</f>
        <v>108949</v>
      </c>
      <c r="D18" s="13">
        <f>+D13-D17</f>
        <v>66288</v>
      </c>
    </row>
    <row r="19" spans="1:4" x14ac:dyDescent="0.3">
      <c r="A19" t="s">
        <v>36</v>
      </c>
      <c r="B19" s="11">
        <v>-334</v>
      </c>
      <c r="C19" s="11">
        <v>258</v>
      </c>
      <c r="D19" s="11">
        <v>803</v>
      </c>
    </row>
    <row r="20" spans="1:4" x14ac:dyDescent="0.3">
      <c r="A20" s="12" t="s">
        <v>37</v>
      </c>
      <c r="B20" s="13">
        <f>+B18+B19</f>
        <v>119103</v>
      </c>
      <c r="C20" s="13">
        <f>+C18+C19</f>
        <v>109207</v>
      </c>
      <c r="D20" s="13">
        <f>+D18+D19</f>
        <v>67091</v>
      </c>
    </row>
    <row r="21" spans="1:4" x14ac:dyDescent="0.3">
      <c r="A21" t="s">
        <v>38</v>
      </c>
      <c r="B21" s="11">
        <v>19300</v>
      </c>
      <c r="C21" s="11">
        <v>14527</v>
      </c>
      <c r="D21" s="11">
        <v>9680</v>
      </c>
    </row>
    <row r="22" spans="1:4" x14ac:dyDescent="0.3">
      <c r="A22" s="14" t="s">
        <v>39</v>
      </c>
      <c r="B22" s="15">
        <f>+B20-B21</f>
        <v>99803</v>
      </c>
      <c r="C22" s="15">
        <f>+C20-C21</f>
        <v>94680</v>
      </c>
      <c r="D22" s="15">
        <f>+D20-D21</f>
        <v>57411</v>
      </c>
    </row>
    <row r="23" spans="1:4" x14ac:dyDescent="0.3">
      <c r="A23" t="s">
        <v>40</v>
      </c>
    </row>
    <row r="24" spans="1:4" x14ac:dyDescent="0.3">
      <c r="A24" s="6" t="s">
        <v>41</v>
      </c>
      <c r="B24" s="16">
        <v>6.15</v>
      </c>
      <c r="C24" s="16">
        <v>5.67</v>
      </c>
      <c r="D24" s="16">
        <v>3.31</v>
      </c>
    </row>
    <row r="25" spans="1:4" x14ac:dyDescent="0.3">
      <c r="A25" s="6" t="s">
        <v>42</v>
      </c>
      <c r="B25" s="16">
        <v>6.11</v>
      </c>
      <c r="C25" s="16">
        <v>5.61</v>
      </c>
      <c r="D25" s="16">
        <v>3.28</v>
      </c>
    </row>
    <row r="26" spans="1:4" x14ac:dyDescent="0.3">
      <c r="A26" t="s">
        <v>43</v>
      </c>
    </row>
    <row r="27" spans="1:4" x14ac:dyDescent="0.3">
      <c r="A27" s="6" t="s">
        <v>41</v>
      </c>
      <c r="B27" s="17">
        <v>16215963</v>
      </c>
      <c r="C27" s="17">
        <v>16701272</v>
      </c>
      <c r="D27" s="17">
        <v>17352119</v>
      </c>
    </row>
    <row r="28" spans="1:4" x14ac:dyDescent="0.3">
      <c r="A28" s="6" t="s">
        <v>42</v>
      </c>
      <c r="B28" s="17">
        <v>16325819</v>
      </c>
      <c r="C28" s="17">
        <v>16864919</v>
      </c>
      <c r="D28" s="17">
        <v>17528214</v>
      </c>
    </row>
    <row r="31" spans="1:4" x14ac:dyDescent="0.3">
      <c r="A31" s="2" t="s">
        <v>44</v>
      </c>
      <c r="B31" s="2"/>
      <c r="C31" s="2"/>
      <c r="D31" s="2"/>
    </row>
    <row r="32" spans="1:4" x14ac:dyDescent="0.3">
      <c r="B32" s="1" t="s">
        <v>45</v>
      </c>
      <c r="C32" s="1"/>
      <c r="D32" s="1"/>
    </row>
    <row r="33" spans="1:4" x14ac:dyDescent="0.3">
      <c r="B33" s="4">
        <f>+B4</f>
        <v>2022</v>
      </c>
      <c r="C33" s="4">
        <f>+C4</f>
        <v>2021</v>
      </c>
      <c r="D33" s="4">
        <f>+D4</f>
        <v>2020</v>
      </c>
    </row>
    <row r="35" spans="1:4" x14ac:dyDescent="0.3">
      <c r="A35" t="s">
        <v>46</v>
      </c>
    </row>
    <row r="36" spans="1:4" x14ac:dyDescent="0.3">
      <c r="A36" s="6" t="s">
        <v>47</v>
      </c>
      <c r="B36" s="11">
        <v>23646</v>
      </c>
      <c r="C36" s="11">
        <v>34940</v>
      </c>
      <c r="D36" s="11">
        <v>38016</v>
      </c>
    </row>
    <row r="37" spans="1:4" x14ac:dyDescent="0.3">
      <c r="A37" s="6" t="s">
        <v>48</v>
      </c>
      <c r="B37" s="11">
        <v>24658</v>
      </c>
      <c r="C37" s="11">
        <v>27699</v>
      </c>
      <c r="D37" s="11">
        <v>52927</v>
      </c>
    </row>
    <row r="38" spans="1:4" x14ac:dyDescent="0.3">
      <c r="A38" s="6" t="s">
        <v>49</v>
      </c>
      <c r="B38" s="11">
        <v>28184</v>
      </c>
      <c r="C38" s="11">
        <v>26278</v>
      </c>
      <c r="D38" s="11">
        <v>16120</v>
      </c>
    </row>
    <row r="39" spans="1:4" x14ac:dyDescent="0.3">
      <c r="A39" s="6" t="s">
        <v>50</v>
      </c>
      <c r="B39" s="11">
        <v>4946</v>
      </c>
      <c r="C39" s="11">
        <v>6580</v>
      </c>
      <c r="D39" s="11">
        <v>4061</v>
      </c>
    </row>
    <row r="40" spans="1:4" x14ac:dyDescent="0.3">
      <c r="A40" s="6" t="s">
        <v>51</v>
      </c>
      <c r="B40" s="11">
        <v>32748</v>
      </c>
      <c r="C40" s="11">
        <v>25228</v>
      </c>
      <c r="D40" s="11">
        <v>21325</v>
      </c>
    </row>
    <row r="41" spans="1:4" x14ac:dyDescent="0.3">
      <c r="A41" s="6" t="s">
        <v>52</v>
      </c>
      <c r="B41" s="11">
        <v>21223</v>
      </c>
      <c r="C41" s="11">
        <v>14111</v>
      </c>
      <c r="D41" s="11">
        <v>11264</v>
      </c>
    </row>
    <row r="42" spans="1:4" x14ac:dyDescent="0.3">
      <c r="A42" s="12" t="s">
        <v>53</v>
      </c>
      <c r="B42" s="13">
        <f>+SUM(B36:B41)</f>
        <v>135405</v>
      </c>
      <c r="C42" s="13">
        <f>+SUM(C36:C41)</f>
        <v>134836</v>
      </c>
      <c r="D42" s="13">
        <f>+SUM(D36:D41)</f>
        <v>143713</v>
      </c>
    </row>
    <row r="43" spans="1:4" x14ac:dyDescent="0.3">
      <c r="A43" t="s">
        <v>54</v>
      </c>
      <c r="B43" s="11"/>
      <c r="C43" s="11"/>
      <c r="D43" s="11"/>
    </row>
    <row r="44" spans="1:4" x14ac:dyDescent="0.3">
      <c r="A44" s="6" t="s">
        <v>48</v>
      </c>
      <c r="B44" s="11">
        <v>120805</v>
      </c>
      <c r="C44" s="11">
        <v>127877</v>
      </c>
      <c r="D44" s="11">
        <v>100887</v>
      </c>
    </row>
    <row r="45" spans="1:4" x14ac:dyDescent="0.3">
      <c r="A45" s="6" t="s">
        <v>55</v>
      </c>
      <c r="B45" s="11">
        <v>42117</v>
      </c>
      <c r="C45" s="11">
        <v>39440</v>
      </c>
      <c r="D45" s="11">
        <v>36766</v>
      </c>
    </row>
    <row r="46" spans="1:4" x14ac:dyDescent="0.3">
      <c r="A46" s="6" t="s">
        <v>56</v>
      </c>
      <c r="B46" s="11">
        <v>54428</v>
      </c>
      <c r="C46" s="11">
        <v>48849</v>
      </c>
      <c r="D46" s="11">
        <v>42522</v>
      </c>
    </row>
    <row r="47" spans="1:4" x14ac:dyDescent="0.3">
      <c r="A47" s="12" t="s">
        <v>57</v>
      </c>
      <c r="B47" s="13">
        <f>+SUM(B44:B46)</f>
        <v>217350</v>
      </c>
      <c r="C47" s="13">
        <f>+SUM(C44:C46)</f>
        <v>216166</v>
      </c>
      <c r="D47" s="13">
        <f>+SUM(D44:D46)</f>
        <v>180175</v>
      </c>
    </row>
    <row r="48" spans="1:4" x14ac:dyDescent="0.3">
      <c r="A48" s="14" t="s">
        <v>58</v>
      </c>
      <c r="B48" s="15">
        <f>+B42+B47</f>
        <v>352755</v>
      </c>
      <c r="C48" s="15">
        <f>+C42+C47</f>
        <v>351002</v>
      </c>
      <c r="D48" s="15">
        <f>+D42+D47</f>
        <v>323888</v>
      </c>
    </row>
    <row r="50" spans="1:4" x14ac:dyDescent="0.3">
      <c r="A50" t="s">
        <v>59</v>
      </c>
    </row>
    <row r="51" spans="1:4" x14ac:dyDescent="0.3">
      <c r="A51" s="6" t="s">
        <v>60</v>
      </c>
      <c r="B51" s="11">
        <v>64115</v>
      </c>
      <c r="C51" s="11">
        <v>54763</v>
      </c>
      <c r="D51" s="11">
        <v>42296</v>
      </c>
    </row>
    <row r="52" spans="1:4" x14ac:dyDescent="0.3">
      <c r="A52" s="6" t="s">
        <v>61</v>
      </c>
      <c r="B52" s="11">
        <v>60845</v>
      </c>
      <c r="C52" s="11">
        <v>47493</v>
      </c>
      <c r="D52" s="11">
        <v>42684</v>
      </c>
    </row>
    <row r="53" spans="1:4" x14ac:dyDescent="0.3">
      <c r="A53" s="6" t="s">
        <v>62</v>
      </c>
      <c r="B53" s="11">
        <v>7912</v>
      </c>
      <c r="C53" s="11">
        <v>7612</v>
      </c>
      <c r="D53" s="11">
        <v>6643</v>
      </c>
    </row>
    <row r="54" spans="1:4" x14ac:dyDescent="0.3">
      <c r="A54" s="6" t="s">
        <v>63</v>
      </c>
      <c r="B54" s="11">
        <v>9982</v>
      </c>
      <c r="C54" s="11">
        <v>6000</v>
      </c>
      <c r="D54" s="11">
        <v>4996</v>
      </c>
    </row>
    <row r="55" spans="1:4" x14ac:dyDescent="0.3">
      <c r="A55" s="6" t="s">
        <v>64</v>
      </c>
      <c r="B55" s="11">
        <v>11128</v>
      </c>
      <c r="C55" s="11">
        <v>9613</v>
      </c>
      <c r="D55" s="11">
        <v>8773</v>
      </c>
    </row>
    <row r="56" spans="1:4" x14ac:dyDescent="0.3">
      <c r="A56" s="12" t="s">
        <v>65</v>
      </c>
      <c r="B56" s="13">
        <f>+SUM(B51:B55)</f>
        <v>153982</v>
      </c>
      <c r="C56" s="13">
        <f>+SUM(C51:C55)</f>
        <v>125481</v>
      </c>
      <c r="D56" s="13">
        <f>+SUM(D51:D55)</f>
        <v>105392</v>
      </c>
    </row>
    <row r="57" spans="1:4" x14ac:dyDescent="0.3">
      <c r="A57" t="s">
        <v>66</v>
      </c>
      <c r="B57" s="11"/>
      <c r="C57" s="11"/>
      <c r="D57" s="11"/>
    </row>
    <row r="58" spans="1:4" x14ac:dyDescent="0.3">
      <c r="A58" s="6" t="s">
        <v>62</v>
      </c>
      <c r="B58" s="11"/>
      <c r="C58" s="11"/>
      <c r="D58" s="11"/>
    </row>
    <row r="59" spans="1:4" x14ac:dyDescent="0.3">
      <c r="A59" s="6" t="s">
        <v>64</v>
      </c>
      <c r="B59" s="11">
        <v>98959</v>
      </c>
      <c r="C59" s="11">
        <v>109106</v>
      </c>
      <c r="D59" s="11">
        <v>98667</v>
      </c>
    </row>
    <row r="60" spans="1:4" x14ac:dyDescent="0.3">
      <c r="A60" s="6" t="s">
        <v>67</v>
      </c>
      <c r="B60" s="11">
        <v>49142</v>
      </c>
      <c r="C60" s="11">
        <v>53325</v>
      </c>
      <c r="D60" s="11">
        <v>54490</v>
      </c>
    </row>
    <row r="61" spans="1:4" x14ac:dyDescent="0.3">
      <c r="A61" s="18" t="s">
        <v>68</v>
      </c>
      <c r="B61" s="19">
        <f>+B59+B60</f>
        <v>148101</v>
      </c>
      <c r="C61" s="19">
        <f>+C59+C60</f>
        <v>162431</v>
      </c>
      <c r="D61" s="19">
        <f>+D59+D60</f>
        <v>153157</v>
      </c>
    </row>
    <row r="62" spans="1:4" x14ac:dyDescent="0.3">
      <c r="A62" s="12" t="s">
        <v>69</v>
      </c>
      <c r="B62" s="13">
        <f>+B56+B61</f>
        <v>302083</v>
      </c>
      <c r="C62" s="13">
        <f>+C56+C61</f>
        <v>287912</v>
      </c>
      <c r="D62" s="13">
        <f>+D56+D61</f>
        <v>258549</v>
      </c>
    </row>
    <row r="63" spans="1:4" x14ac:dyDescent="0.3">
      <c r="B63" s="11"/>
      <c r="C63" s="11"/>
      <c r="D63" s="11"/>
    </row>
    <row r="64" spans="1:4" x14ac:dyDescent="0.3">
      <c r="A64" t="s">
        <v>70</v>
      </c>
      <c r="B64" s="11"/>
      <c r="C64" s="11"/>
      <c r="D64" s="11"/>
    </row>
    <row r="65" spans="1:4" x14ac:dyDescent="0.3">
      <c r="A65" s="6" t="s">
        <v>71</v>
      </c>
      <c r="B65" s="11">
        <v>64849</v>
      </c>
      <c r="C65" s="11">
        <v>57365</v>
      </c>
      <c r="D65" s="11">
        <v>50779</v>
      </c>
    </row>
    <row r="66" spans="1:4" x14ac:dyDescent="0.3">
      <c r="A66" s="6" t="s">
        <v>72</v>
      </c>
      <c r="B66" s="11">
        <v>-3068</v>
      </c>
      <c r="C66" s="11">
        <v>5562</v>
      </c>
      <c r="D66" s="11">
        <v>14966</v>
      </c>
    </row>
    <row r="67" spans="1:4" x14ac:dyDescent="0.3">
      <c r="A67" s="6" t="s">
        <v>73</v>
      </c>
      <c r="B67" s="11">
        <v>-11109</v>
      </c>
      <c r="C67" s="11">
        <v>163</v>
      </c>
      <c r="D67" s="11">
        <v>-406</v>
      </c>
    </row>
    <row r="68" spans="1:4" x14ac:dyDescent="0.3">
      <c r="A68" s="12" t="s">
        <v>74</v>
      </c>
      <c r="B68" s="13">
        <f>+SUM(B65:B67)</f>
        <v>50672</v>
      </c>
      <c r="C68" s="13">
        <f>+SUM(C65:C67)</f>
        <v>63090</v>
      </c>
      <c r="D68" s="13">
        <f>+SUM(D65:D67)</f>
        <v>65339</v>
      </c>
    </row>
    <row r="69" spans="1:4" x14ac:dyDescent="0.3">
      <c r="A69" s="14" t="s">
        <v>75</v>
      </c>
      <c r="B69" s="15">
        <f>+B68+B62</f>
        <v>352755</v>
      </c>
      <c r="C69" s="15">
        <f>+C68+C62</f>
        <v>351002</v>
      </c>
      <c r="D69" s="15">
        <f>+D68+D62</f>
        <v>323888</v>
      </c>
    </row>
    <row r="71" spans="1:4" x14ac:dyDescent="0.3">
      <c r="A71" s="2" t="s">
        <v>76</v>
      </c>
      <c r="B71" s="2"/>
      <c r="C71" s="2"/>
      <c r="D71" s="2"/>
    </row>
    <row r="72" spans="1:4" x14ac:dyDescent="0.3">
      <c r="B72" s="1" t="s">
        <v>24</v>
      </c>
      <c r="C72" s="1"/>
      <c r="D72" s="1"/>
    </row>
    <row r="73" spans="1:4" x14ac:dyDescent="0.3">
      <c r="B73" s="4">
        <f>+B33</f>
        <v>2022</v>
      </c>
      <c r="C73" s="4">
        <f>+C33</f>
        <v>2021</v>
      </c>
      <c r="D73" s="4">
        <f>+D33</f>
        <v>2020</v>
      </c>
    </row>
    <row r="75" spans="1:4" x14ac:dyDescent="0.3">
      <c r="A75" s="4" t="s">
        <v>77</v>
      </c>
      <c r="B75" s="20"/>
      <c r="C75" s="20"/>
      <c r="D75" s="20"/>
    </row>
    <row r="76" spans="1:4" x14ac:dyDescent="0.3">
      <c r="A76" t="s">
        <v>78</v>
      </c>
      <c r="B76" s="11">
        <f>+B22</f>
        <v>99803</v>
      </c>
      <c r="C76" s="11">
        <f>+C22</f>
        <v>94680</v>
      </c>
      <c r="D76" s="11">
        <f>+D22</f>
        <v>57411</v>
      </c>
    </row>
    <row r="77" spans="1:4" x14ac:dyDescent="0.3">
      <c r="A77" s="21" t="s">
        <v>39</v>
      </c>
      <c r="B77" s="20"/>
      <c r="C77" s="20"/>
      <c r="D77" s="20"/>
    </row>
    <row r="78" spans="1:4" x14ac:dyDescent="0.3">
      <c r="A78" s="6" t="s">
        <v>79</v>
      </c>
      <c r="B78" s="11"/>
      <c r="C78" s="11"/>
      <c r="D78" s="11"/>
    </row>
    <row r="79" spans="1:4" x14ac:dyDescent="0.3">
      <c r="A79" s="22" t="s">
        <v>80</v>
      </c>
      <c r="B79" s="11">
        <v>11104</v>
      </c>
      <c r="C79" s="11">
        <v>11284</v>
      </c>
      <c r="D79" s="11">
        <v>11056</v>
      </c>
    </row>
    <row r="80" spans="1:4" x14ac:dyDescent="0.3">
      <c r="A80" s="22" t="s">
        <v>81</v>
      </c>
      <c r="B80" s="11">
        <v>9038</v>
      </c>
      <c r="C80" s="11">
        <v>7906</v>
      </c>
      <c r="D80" s="11">
        <v>6829</v>
      </c>
    </row>
    <row r="81" spans="1:4" x14ac:dyDescent="0.3">
      <c r="A81" s="22" t="s">
        <v>82</v>
      </c>
      <c r="B81" s="11">
        <v>895</v>
      </c>
      <c r="C81" s="11">
        <v>-4774</v>
      </c>
      <c r="D81" s="11">
        <v>-215</v>
      </c>
    </row>
    <row r="82" spans="1:4" x14ac:dyDescent="0.3">
      <c r="A82" s="22" t="s">
        <v>83</v>
      </c>
      <c r="B82" s="11">
        <v>111</v>
      </c>
      <c r="C82" s="11">
        <v>-147</v>
      </c>
      <c r="D82" s="11">
        <v>-97</v>
      </c>
    </row>
    <row r="83" spans="1:4" x14ac:dyDescent="0.3">
      <c r="A83" t="s">
        <v>84</v>
      </c>
      <c r="B83" s="11"/>
      <c r="C83" s="11"/>
      <c r="D83" s="11"/>
    </row>
    <row r="84" spans="1:4" x14ac:dyDescent="0.3">
      <c r="A84" s="6" t="s">
        <v>49</v>
      </c>
      <c r="B84" s="11">
        <v>-1823</v>
      </c>
      <c r="C84" s="11">
        <v>-10125</v>
      </c>
      <c r="D84" s="11">
        <v>6917</v>
      </c>
    </row>
    <row r="85" spans="1:4" x14ac:dyDescent="0.3">
      <c r="A85" s="6" t="s">
        <v>50</v>
      </c>
      <c r="B85" s="11">
        <v>1484</v>
      </c>
      <c r="C85" s="11">
        <v>-2642</v>
      </c>
      <c r="D85" s="11">
        <v>-127</v>
      </c>
    </row>
    <row r="86" spans="1:4" x14ac:dyDescent="0.3">
      <c r="A86" s="6" t="s">
        <v>51</v>
      </c>
      <c r="B86" s="11">
        <v>-7520</v>
      </c>
      <c r="C86" s="11">
        <v>-3903</v>
      </c>
      <c r="D86" s="11">
        <v>1553</v>
      </c>
    </row>
    <row r="87" spans="1:4" x14ac:dyDescent="0.3">
      <c r="A87" s="6" t="s">
        <v>85</v>
      </c>
      <c r="B87" s="11">
        <v>-6499</v>
      </c>
      <c r="C87" s="11">
        <v>-8042</v>
      </c>
      <c r="D87" s="11">
        <v>-9588</v>
      </c>
    </row>
    <row r="88" spans="1:4" x14ac:dyDescent="0.3">
      <c r="A88" s="6" t="s">
        <v>60</v>
      </c>
      <c r="B88" s="11">
        <v>9448</v>
      </c>
      <c r="C88" s="11">
        <v>12326</v>
      </c>
      <c r="D88" s="11">
        <v>-4062</v>
      </c>
    </row>
    <row r="89" spans="1:4" x14ac:dyDescent="0.3">
      <c r="A89" s="6" t="s">
        <v>62</v>
      </c>
      <c r="B89" s="11">
        <v>478</v>
      </c>
      <c r="C89" s="11">
        <v>1676</v>
      </c>
      <c r="D89" s="11">
        <v>2081</v>
      </c>
    </row>
    <row r="90" spans="1:4" x14ac:dyDescent="0.3">
      <c r="A90" s="6" t="s">
        <v>86</v>
      </c>
      <c r="B90" s="11">
        <v>5632</v>
      </c>
      <c r="C90" s="11">
        <v>5799</v>
      </c>
      <c r="D90" s="11">
        <v>8916</v>
      </c>
    </row>
    <row r="91" spans="1:4" x14ac:dyDescent="0.3">
      <c r="A91" s="12" t="s">
        <v>87</v>
      </c>
      <c r="B91" s="13">
        <f>+SUM(B76:B90)</f>
        <v>122151</v>
      </c>
      <c r="C91" s="13">
        <f>+SUM(C76:C90)</f>
        <v>104038</v>
      </c>
      <c r="D91" s="13">
        <f>+SUM(D76:D90)</f>
        <v>80674</v>
      </c>
    </row>
    <row r="92" spans="1:4" x14ac:dyDescent="0.3">
      <c r="A92" s="4" t="s">
        <v>88</v>
      </c>
      <c r="B92" s="11"/>
      <c r="C92" s="11"/>
      <c r="D92" s="11"/>
    </row>
    <row r="93" spans="1:4" x14ac:dyDescent="0.3">
      <c r="A93" s="6" t="s">
        <v>89</v>
      </c>
      <c r="B93" s="11">
        <v>-76923</v>
      </c>
      <c r="C93" s="11">
        <v>-109558</v>
      </c>
      <c r="D93" s="11">
        <v>-114938</v>
      </c>
    </row>
    <row r="94" spans="1:4" x14ac:dyDescent="0.3">
      <c r="A94" s="6" t="s">
        <v>90</v>
      </c>
      <c r="B94" s="11">
        <v>29917</v>
      </c>
      <c r="C94" s="11">
        <v>59023</v>
      </c>
      <c r="D94" s="11">
        <v>69918</v>
      </c>
    </row>
    <row r="95" spans="1:4" x14ac:dyDescent="0.3">
      <c r="A95" s="6" t="s">
        <v>91</v>
      </c>
      <c r="B95" s="11">
        <v>37446</v>
      </c>
      <c r="C95" s="11">
        <v>47460</v>
      </c>
      <c r="D95" s="11">
        <v>50473</v>
      </c>
    </row>
    <row r="96" spans="1:4" x14ac:dyDescent="0.3">
      <c r="A96" s="6" t="s">
        <v>92</v>
      </c>
      <c r="B96" s="11">
        <v>-10708</v>
      </c>
      <c r="C96" s="11">
        <v>-11085</v>
      </c>
      <c r="D96" s="11">
        <v>-7309</v>
      </c>
    </row>
    <row r="97" spans="1:4" x14ac:dyDescent="0.3">
      <c r="A97" s="6" t="s">
        <v>93</v>
      </c>
      <c r="B97" s="11">
        <v>-306</v>
      </c>
      <c r="C97" s="11">
        <v>-33</v>
      </c>
      <c r="D97" s="11">
        <v>-1524</v>
      </c>
    </row>
    <row r="98" spans="1:4" x14ac:dyDescent="0.3">
      <c r="A98" s="6" t="s">
        <v>83</v>
      </c>
      <c r="B98" s="11">
        <v>-1780</v>
      </c>
      <c r="C98" s="11">
        <v>-352</v>
      </c>
      <c r="D98" s="11">
        <v>-909</v>
      </c>
    </row>
    <row r="99" spans="1:4" x14ac:dyDescent="0.3">
      <c r="A99" s="12" t="s">
        <v>94</v>
      </c>
      <c r="B99" s="13">
        <f>+SUM(B93:B98)</f>
        <v>-22354</v>
      </c>
      <c r="C99" s="13">
        <f>+SUM(C93:C98)</f>
        <v>-14545</v>
      </c>
      <c r="D99" s="13">
        <f>+SUM(D93:D98)</f>
        <v>-4289</v>
      </c>
    </row>
    <row r="100" spans="1:4" x14ac:dyDescent="0.3">
      <c r="A100" s="4" t="s">
        <v>95</v>
      </c>
      <c r="B100" s="11"/>
      <c r="C100" s="11"/>
      <c r="D100" s="11"/>
    </row>
    <row r="101" spans="1:4" x14ac:dyDescent="0.3">
      <c r="A101" s="6" t="s">
        <v>96</v>
      </c>
      <c r="B101" s="11">
        <v>-6223</v>
      </c>
      <c r="C101" s="11">
        <v>-6556</v>
      </c>
      <c r="D101" s="11">
        <v>-3634</v>
      </c>
    </row>
    <row r="102" spans="1:4" x14ac:dyDescent="0.3">
      <c r="A102" s="6" t="s">
        <v>97</v>
      </c>
      <c r="B102" s="11">
        <v>-14841</v>
      </c>
      <c r="C102" s="11">
        <v>-14467</v>
      </c>
      <c r="D102" s="11">
        <v>-14081</v>
      </c>
    </row>
    <row r="103" spans="1:4" x14ac:dyDescent="0.3">
      <c r="A103" s="6" t="s">
        <v>98</v>
      </c>
      <c r="B103" s="11">
        <v>-89402</v>
      </c>
      <c r="C103" s="11">
        <v>-85971</v>
      </c>
      <c r="D103" s="11">
        <v>-72358</v>
      </c>
    </row>
    <row r="104" spans="1:4" x14ac:dyDescent="0.3">
      <c r="A104" s="6" t="s">
        <v>99</v>
      </c>
      <c r="B104" s="11">
        <v>5465</v>
      </c>
      <c r="C104" s="11">
        <v>20393</v>
      </c>
      <c r="D104" s="11">
        <v>16091</v>
      </c>
    </row>
    <row r="105" spans="1:4" x14ac:dyDescent="0.3">
      <c r="A105" s="6" t="s">
        <v>100</v>
      </c>
      <c r="B105" s="11">
        <v>-9543</v>
      </c>
      <c r="C105" s="11">
        <v>-8750</v>
      </c>
      <c r="D105" s="11">
        <v>-12629</v>
      </c>
    </row>
    <row r="106" spans="1:4" x14ac:dyDescent="0.3">
      <c r="A106" s="6" t="s">
        <v>101</v>
      </c>
      <c r="B106" s="11">
        <v>3955</v>
      </c>
      <c r="C106" s="11">
        <v>1022</v>
      </c>
      <c r="D106" s="11">
        <v>-963</v>
      </c>
    </row>
    <row r="107" spans="1:4" x14ac:dyDescent="0.3">
      <c r="A107" s="6" t="s">
        <v>83</v>
      </c>
      <c r="B107" s="11">
        <v>-160</v>
      </c>
      <c r="C107" s="11">
        <v>976</v>
      </c>
      <c r="D107" s="11">
        <v>754</v>
      </c>
    </row>
    <row r="108" spans="1:4" x14ac:dyDescent="0.3">
      <c r="A108" s="12" t="s">
        <v>102</v>
      </c>
      <c r="B108" s="13">
        <f>+SUM(B101:B107)</f>
        <v>-110749</v>
      </c>
      <c r="C108" s="13">
        <f>+SUM(C101:C107)</f>
        <v>-93353</v>
      </c>
      <c r="D108" s="13">
        <f>+SUM(D101:D107)</f>
        <v>-86820</v>
      </c>
    </row>
    <row r="109" spans="1:4" x14ac:dyDescent="0.3">
      <c r="A109" s="12" t="s">
        <v>103</v>
      </c>
      <c r="B109" s="13">
        <f>+B91+B99+B108</f>
        <v>-10952</v>
      </c>
      <c r="C109" s="13">
        <f>+C91+C99+C108</f>
        <v>-3860</v>
      </c>
      <c r="D109" s="13">
        <f>+D91+D99+D108</f>
        <v>-10435</v>
      </c>
    </row>
    <row r="110" spans="1:4" x14ac:dyDescent="0.3">
      <c r="A110" s="14" t="s">
        <v>104</v>
      </c>
      <c r="B110" s="15">
        <v>24977</v>
      </c>
      <c r="C110" s="15">
        <v>35929</v>
      </c>
      <c r="D110" s="15">
        <v>39789</v>
      </c>
    </row>
    <row r="111" spans="1:4" x14ac:dyDescent="0.3">
      <c r="B111" s="11"/>
      <c r="C111" s="11"/>
      <c r="D111" s="11"/>
    </row>
    <row r="112" spans="1:4" x14ac:dyDescent="0.3">
      <c r="A112" t="s">
        <v>105</v>
      </c>
      <c r="B112" s="11"/>
      <c r="C112" s="11"/>
      <c r="D112" s="11"/>
    </row>
    <row r="113" spans="1:4" x14ac:dyDescent="0.3">
      <c r="A113" t="s">
        <v>106</v>
      </c>
      <c r="B113" s="11">
        <v>19573</v>
      </c>
      <c r="C113" s="11">
        <v>25385</v>
      </c>
      <c r="D113" s="11">
        <v>9501</v>
      </c>
    </row>
    <row r="114" spans="1:4" x14ac:dyDescent="0.3">
      <c r="A114" t="s">
        <v>107</v>
      </c>
      <c r="B114" s="11">
        <v>2865</v>
      </c>
      <c r="C114" s="11">
        <v>2687</v>
      </c>
      <c r="D114" s="11">
        <v>3002</v>
      </c>
    </row>
  </sheetData>
  <mergeCells count="6">
    <mergeCell ref="B72:D72"/>
    <mergeCell ref="A2:D2"/>
    <mergeCell ref="B3:D3"/>
    <mergeCell ref="A31:D31"/>
    <mergeCell ref="B32:D32"/>
    <mergeCell ref="A71:D7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6"/>
  <sheetViews>
    <sheetView tabSelected="1" topLeftCell="A48" zoomScale="110" zoomScaleNormal="110" workbookViewId="0">
      <selection activeCell="J34" sqref="J34"/>
    </sheetView>
  </sheetViews>
  <sheetFormatPr defaultColWidth="8.88671875" defaultRowHeight="14.4" x14ac:dyDescent="0.3"/>
  <cols>
    <col min="1" max="1" width="4.6640625" customWidth="1"/>
    <col min="2" max="2" width="44.88671875" customWidth="1"/>
    <col min="7" max="9" width="16.33203125" customWidth="1"/>
    <col min="10" max="10" width="30" customWidth="1"/>
  </cols>
  <sheetData>
    <row r="1" spans="1:11" ht="60" customHeight="1" x14ac:dyDescent="0.5">
      <c r="A1" s="8"/>
      <c r="B1" s="23" t="s">
        <v>21</v>
      </c>
      <c r="C1" s="24"/>
      <c r="D1" s="24"/>
      <c r="E1" s="24"/>
      <c r="F1" s="24"/>
      <c r="G1" s="24"/>
      <c r="H1" s="24"/>
      <c r="I1" s="24"/>
      <c r="J1" s="24" t="s">
        <v>108</v>
      </c>
      <c r="K1" s="24"/>
    </row>
    <row r="2" spans="1:11" x14ac:dyDescent="0.3">
      <c r="C2" s="1" t="s">
        <v>24</v>
      </c>
      <c r="D2" s="1"/>
      <c r="E2" s="1"/>
      <c r="F2" s="10"/>
    </row>
    <row r="3" spans="1:11" x14ac:dyDescent="0.3">
      <c r="C3" s="4">
        <f>+'Financial Statements'!B4</f>
        <v>2022</v>
      </c>
      <c r="D3" s="4">
        <f>+'Financial Statements'!C4</f>
        <v>2021</v>
      </c>
      <c r="E3" s="4">
        <f>+'Financial Statements'!D4</f>
        <v>2020</v>
      </c>
      <c r="F3" s="4"/>
      <c r="G3" s="4">
        <v>2022</v>
      </c>
      <c r="H3" s="4">
        <v>2021</v>
      </c>
      <c r="I3" s="4">
        <v>2020</v>
      </c>
    </row>
    <row r="4" spans="1:11" x14ac:dyDescent="0.3">
      <c r="A4" s="25">
        <v>1</v>
      </c>
      <c r="B4" s="4" t="s">
        <v>109</v>
      </c>
    </row>
    <row r="5" spans="1:11" x14ac:dyDescent="0.3">
      <c r="A5" s="25">
        <f t="shared" ref="A5:A13" si="0">+A4+0.1</f>
        <v>1.1000000000000001</v>
      </c>
      <c r="B5" s="6" t="s">
        <v>110</v>
      </c>
      <c r="C5">
        <f>135405/153982</f>
        <v>0.87935602862672257</v>
      </c>
      <c r="D5">
        <f>134836/125481</f>
        <v>1.0745531195957954</v>
      </c>
      <c r="E5">
        <f>143713/105392</f>
        <v>1.3636044481554577</v>
      </c>
      <c r="G5" s="26">
        <f>+'Financial Statements'!B42/'Financial Statements'!B56</f>
        <v>0.87935602862672257</v>
      </c>
      <c r="H5" s="26">
        <f>+'Financial Statements'!C42/'Financial Statements'!C56</f>
        <v>1.0745531195957954</v>
      </c>
      <c r="I5" s="26">
        <f>+'Financial Statements'!D42/'Financial Statements'!D56</f>
        <v>1.3636044481554577</v>
      </c>
    </row>
    <row r="6" spans="1:11" x14ac:dyDescent="0.3">
      <c r="A6" s="25">
        <f t="shared" si="0"/>
        <v>1.2000000000000002</v>
      </c>
      <c r="B6" s="6" t="s">
        <v>111</v>
      </c>
      <c r="C6">
        <f>(23646+24658+28184)/153982</f>
        <v>0.49673338442155579</v>
      </c>
      <c r="D6">
        <f>(34940+27699+26278)/125481</f>
        <v>0.70860927152317876</v>
      </c>
      <c r="E6">
        <f>(38016+52927+16120)/105392</f>
        <v>1.0158550933657204</v>
      </c>
      <c r="G6" s="27">
        <f>+('Financial Statements'!B36+'Financial Statements'!B37+'Financial Statements'!B38)/'Financial Statements'!B56</f>
        <v>0.49673338442155579</v>
      </c>
      <c r="H6" s="27">
        <f>+('Financial Statements'!C36+'Financial Statements'!C37+'Financial Statements'!C38)/'Financial Statements'!C56</f>
        <v>0.70860927152317876</v>
      </c>
      <c r="I6" s="27">
        <f>+('Financial Statements'!D36+'Financial Statements'!D37+'Financial Statements'!D38)/'Financial Statements'!D56</f>
        <v>1.0158550933657204</v>
      </c>
    </row>
    <row r="7" spans="1:11" x14ac:dyDescent="0.3">
      <c r="A7" s="25">
        <f t="shared" si="0"/>
        <v>1.3000000000000003</v>
      </c>
      <c r="B7" s="6" t="s">
        <v>112</v>
      </c>
      <c r="C7">
        <f>23646/153982</f>
        <v>0.15356340351469652</v>
      </c>
      <c r="D7">
        <f>34940/125481</f>
        <v>0.27844853005634318</v>
      </c>
      <c r="E7">
        <f>38016/105392</f>
        <v>0.36071049035979963</v>
      </c>
      <c r="G7" s="27">
        <f>+'Financial Statements'!B36/'Financial Statements'!B56</f>
        <v>0.15356340351469652</v>
      </c>
      <c r="H7" s="27">
        <f>+'Financial Statements'!C36/'Financial Statements'!C56</f>
        <v>0.27844853005634318</v>
      </c>
      <c r="I7" s="27">
        <f>+'Financial Statements'!D36/'Financial Statements'!D56</f>
        <v>0.36071049035979963</v>
      </c>
    </row>
    <row r="8" spans="1:11" x14ac:dyDescent="0.3">
      <c r="A8" s="25">
        <f t="shared" si="0"/>
        <v>1.4000000000000004</v>
      </c>
      <c r="B8" s="6" t="s">
        <v>113</v>
      </c>
      <c r="C8">
        <f>135405/(51345/365)</f>
        <v>962.56354075372474</v>
      </c>
      <c r="D8">
        <f>134836/(43887/365)</f>
        <v>1121.4058832911796</v>
      </c>
      <c r="E8">
        <f>143713/(38668/365)</f>
        <v>1356.5543860556534</v>
      </c>
      <c r="G8" s="27">
        <f>+('Financial Statements'!B42/'Financial Statements'!B17)*365</f>
        <v>962.56354075372474</v>
      </c>
      <c r="H8" s="27">
        <f>+('Financial Statements'!C42/'Financial Statements'!C17)*365</f>
        <v>1121.4058832911796</v>
      </c>
      <c r="I8" s="27">
        <f>+('Financial Statements'!D42/'Financial Statements'!D17)*365</f>
        <v>1356.5543860556531</v>
      </c>
    </row>
    <row r="9" spans="1:11" x14ac:dyDescent="0.3">
      <c r="A9" s="25">
        <f t="shared" si="0"/>
        <v>1.5000000000000004</v>
      </c>
      <c r="B9" s="6" t="s">
        <v>114</v>
      </c>
      <c r="C9">
        <f>(4946/223546)*365</f>
        <v>8.0756980666171607</v>
      </c>
      <c r="D9">
        <f>(6580/212981)*365</f>
        <v>11.27659274770989</v>
      </c>
      <c r="E9">
        <f>(4061/169559)*365</f>
        <v>8.7418833562358831</v>
      </c>
      <c r="G9" s="27">
        <f>+('Financial Statements'!B39/'Financial Statements'!B12)*365</f>
        <v>8.0756980666171607</v>
      </c>
      <c r="H9" s="27">
        <f>+('Financial Statements'!C39/'Financial Statements'!C12)*365</f>
        <v>11.27659274770989</v>
      </c>
      <c r="I9" s="27">
        <f>+('Financial Statements'!D39/'Financial Statements'!D12)*365</f>
        <v>8.7418833562358831</v>
      </c>
    </row>
    <row r="10" spans="1:11" x14ac:dyDescent="0.3">
      <c r="A10" s="25">
        <f t="shared" si="0"/>
        <v>1.6000000000000005</v>
      </c>
      <c r="B10" s="6" t="s">
        <v>115</v>
      </c>
      <c r="C10">
        <f>(64115*365)/223546</f>
        <v>104.68527730310539</v>
      </c>
      <c r="D10">
        <f>(54763*365)/212981</f>
        <v>93.85107122231561</v>
      </c>
      <c r="E10">
        <f>(42296*365)/169559</f>
        <v>91.048189715674184</v>
      </c>
      <c r="G10" s="27">
        <f>+('Financial Statements'!B51/'Financial Statements'!B12)*365</f>
        <v>104.68527730310539</v>
      </c>
      <c r="H10" s="27">
        <f>+('Financial Statements'!C51/'Financial Statements'!C12)*365</f>
        <v>93.851071222315596</v>
      </c>
      <c r="I10" s="27">
        <f>+('Financial Statements'!D51/'Financial Statements'!D12)*365</f>
        <v>91.048189715674198</v>
      </c>
    </row>
    <row r="11" spans="1:11" x14ac:dyDescent="0.3">
      <c r="A11" s="25">
        <f t="shared" si="0"/>
        <v>1.7000000000000006</v>
      </c>
      <c r="B11" s="6" t="s">
        <v>116</v>
      </c>
      <c r="C11">
        <f>(28184*365)/394328</f>
        <v>26.087825363656652</v>
      </c>
      <c r="D11">
        <f>(26278*365)/365817</f>
        <v>26.219311841713207</v>
      </c>
      <c r="E11">
        <f>(16120*365)/274515</f>
        <v>21.433437152796749</v>
      </c>
      <c r="G11" s="27">
        <f>+('Financial Statements'!B38/'Financial Statements'!B8)*365</f>
        <v>26.087825363656648</v>
      </c>
      <c r="H11" s="27">
        <f>+('Financial Statements'!C38/'Financial Statements'!C8)*365</f>
        <v>26.219311841713207</v>
      </c>
      <c r="I11" s="27">
        <f>+('Financial Statements'!D38/'Financial Statements'!D8)*365</f>
        <v>21.433437152796749</v>
      </c>
    </row>
    <row r="12" spans="1:11" x14ac:dyDescent="0.3">
      <c r="A12" s="25">
        <f t="shared" si="0"/>
        <v>1.8000000000000007</v>
      </c>
      <c r="B12" s="6" t="s">
        <v>117</v>
      </c>
      <c r="C12">
        <f>C9+C11-C10</f>
        <v>-70.521753872831582</v>
      </c>
      <c r="D12">
        <f>D9+D11-D10</f>
        <v>-56.355166632892512</v>
      </c>
      <c r="E12">
        <f>E9+E11-E10</f>
        <v>-60.872869206641553</v>
      </c>
      <c r="G12" s="27">
        <f>+'List of Ratios'!C9+'List of Ratios'!C11-'List of Ratios'!C10</f>
        <v>-70.521753872831582</v>
      </c>
      <c r="H12" s="27">
        <f>+'List of Ratios'!D9+'List of Ratios'!D11-'List of Ratios'!D10</f>
        <v>-56.355166632892512</v>
      </c>
      <c r="I12" s="27">
        <f>+'List of Ratios'!E9+'List of Ratios'!E11-'List of Ratios'!E10</f>
        <v>-60.872869206641553</v>
      </c>
    </row>
    <row r="13" spans="1:11" x14ac:dyDescent="0.3">
      <c r="A13" s="25">
        <f t="shared" si="0"/>
        <v>1.9000000000000008</v>
      </c>
      <c r="B13" s="6" t="s">
        <v>118</v>
      </c>
      <c r="C13">
        <f>(C14*100)/394328</f>
        <v>-4.7110527276784806</v>
      </c>
      <c r="D13">
        <f>(D14*100)/365817</f>
        <v>2.5572895737486228</v>
      </c>
      <c r="E13">
        <f>(E14*100)/274515</f>
        <v>13.959528623208204</v>
      </c>
      <c r="G13" s="27">
        <f>+('Financial Statements'!B42-'Financial Statements'!B56)/'Financial Statements'!B8</f>
        <v>-4.711052727678481E-2</v>
      </c>
      <c r="H13" s="27">
        <f>+('Financial Statements'!C42-'Financial Statements'!C56)/'Financial Statements'!C8</f>
        <v>2.557289573748623E-2</v>
      </c>
      <c r="I13" s="27">
        <f>+('Financial Statements'!D42-'Financial Statements'!D56)/'Financial Statements'!D8</f>
        <v>0.13959528623208203</v>
      </c>
    </row>
    <row r="14" spans="1:11" x14ac:dyDescent="0.3">
      <c r="A14" s="25"/>
      <c r="B14" s="22" t="s">
        <v>119</v>
      </c>
      <c r="C14">
        <f>135405-153982</f>
        <v>-18577</v>
      </c>
      <c r="D14">
        <f>134836-125481</f>
        <v>9355</v>
      </c>
      <c r="E14">
        <f>143713-105392</f>
        <v>38321</v>
      </c>
      <c r="G14" s="27">
        <f>+'Financial Statements'!B42-'Financial Statements'!B56</f>
        <v>-18577</v>
      </c>
      <c r="H14" s="27">
        <f>+'Financial Statements'!C42-'Financial Statements'!C56</f>
        <v>9355</v>
      </c>
      <c r="I14" s="27">
        <f>+'Financial Statements'!D42-'Financial Statements'!D56</f>
        <v>38321</v>
      </c>
    </row>
    <row r="15" spans="1:11" x14ac:dyDescent="0.3">
      <c r="A15" s="25"/>
    </row>
    <row r="16" spans="1:11" x14ac:dyDescent="0.3">
      <c r="A16" s="25">
        <f>+A4+1</f>
        <v>2</v>
      </c>
      <c r="B16" s="7" t="s">
        <v>120</v>
      </c>
    </row>
    <row r="17" spans="1:10" x14ac:dyDescent="0.3">
      <c r="A17" s="25">
        <f>+A16+0.1</f>
        <v>2.1</v>
      </c>
      <c r="B17" s="6" t="s">
        <v>31</v>
      </c>
      <c r="C17">
        <f>((394328-223546)/392328)*100</f>
        <v>43.530413327623826</v>
      </c>
      <c r="D17">
        <f>((365817-212981)/365817)*100</f>
        <v>41.779359625167778</v>
      </c>
      <c r="E17">
        <f>((274515-169559)/274515)*100</f>
        <v>38.233247727810863</v>
      </c>
      <c r="G17" s="28">
        <f>((+'Financial Statements'!B8-'Financial Statements'!B12)/'Financial Statements'!B8)*100</f>
        <v>43.309630561360088</v>
      </c>
      <c r="H17" s="28">
        <f>((+'Financial Statements'!C8-'Financial Statements'!C12)/'Financial Statements'!C8)*100</f>
        <v>41.779359625167778</v>
      </c>
      <c r="I17" s="28">
        <f>((+'Financial Statements'!D8-'Financial Statements'!D12)/'Financial Statements'!D8)*100</f>
        <v>38.233247727810863</v>
      </c>
    </row>
    <row r="18" spans="1:10" x14ac:dyDescent="0.3">
      <c r="A18" s="25">
        <f>+A17+0.1</f>
        <v>2.2000000000000002</v>
      </c>
      <c r="B18" s="6" t="s">
        <v>121</v>
      </c>
      <c r="C18">
        <f>C19/394328</f>
        <v>0.3310467428130896</v>
      </c>
      <c r="D18">
        <f>D19/365817</f>
        <v>0.32866979938056462</v>
      </c>
      <c r="E18">
        <f>E19/274515</f>
        <v>0.2817478097736007</v>
      </c>
      <c r="G18">
        <f>(+'Financial Statements'!B8-'Financial Statements'!B12-'Financial Statements'!B17+'Financial Statements'!B79)/'Financial Statements'!B8</f>
        <v>0.3310467428130896</v>
      </c>
      <c r="H18">
        <f>(+'Financial Statements'!C8-'Financial Statements'!C12-'Financial Statements'!C17+'Financial Statements'!C79)/'Financial Statements'!C8</f>
        <v>0.32866979938056462</v>
      </c>
      <c r="I18">
        <f>(+'Financial Statements'!D8-'Financial Statements'!D12-'Financial Statements'!D17+'Financial Statements'!D79)/'Financial Statements'!D8</f>
        <v>0.2817478097736007</v>
      </c>
    </row>
    <row r="19" spans="1:10" x14ac:dyDescent="0.3">
      <c r="A19" s="25"/>
      <c r="B19" s="22" t="s">
        <v>122</v>
      </c>
      <c r="C19">
        <f>C21+11104</f>
        <v>130541</v>
      </c>
      <c r="D19">
        <f>D21+11284</f>
        <v>120233</v>
      </c>
      <c r="E19">
        <f>E21+11056</f>
        <v>77344</v>
      </c>
      <c r="G19">
        <f>+'Financial Statements'!B8-'Financial Statements'!B12-'Financial Statements'!B17+'Financial Statements'!B79</f>
        <v>130541</v>
      </c>
      <c r="H19">
        <f>+'Financial Statements'!C8-'Financial Statements'!C12-'Financial Statements'!C17+'Financial Statements'!C79</f>
        <v>120233</v>
      </c>
      <c r="I19">
        <f>+'Financial Statements'!D8-'Financial Statements'!D12-'Financial Statements'!D17+'Financial Statements'!D79</f>
        <v>77344</v>
      </c>
    </row>
    <row r="20" spans="1:10" x14ac:dyDescent="0.3">
      <c r="A20" s="25">
        <f>+A18+0.1</f>
        <v>2.3000000000000003</v>
      </c>
      <c r="B20" s="6" t="s">
        <v>123</v>
      </c>
      <c r="C20">
        <f>C21/394328</f>
        <v>0.30288744395528594</v>
      </c>
      <c r="D20">
        <f>D21/365817</f>
        <v>0.29782377527561593</v>
      </c>
      <c r="E20">
        <f>E21/274515</f>
        <v>0.24147314354406862</v>
      </c>
      <c r="G20">
        <f>+('Financial Statements'!B8-'Financial Statements'!B12-'Financial Statements'!B17)/'Financial Statements'!B8</f>
        <v>0.30288744395528594</v>
      </c>
      <c r="H20">
        <f>+('Financial Statements'!C8-'Financial Statements'!C12-'Financial Statements'!C17)/'Financial Statements'!C8</f>
        <v>0.29782377527561593</v>
      </c>
      <c r="I20">
        <f>+('Financial Statements'!D8-'Financial Statements'!D12-'Financial Statements'!D17)/'Financial Statements'!D8</f>
        <v>0.24147314354406862</v>
      </c>
    </row>
    <row r="21" spans="1:10" x14ac:dyDescent="0.3">
      <c r="A21" s="25"/>
      <c r="B21" s="22" t="s">
        <v>124</v>
      </c>
      <c r="C21">
        <f>394328-223546-51345</f>
        <v>119437</v>
      </c>
      <c r="D21">
        <f>365817-212981-43887</f>
        <v>108949</v>
      </c>
      <c r="E21">
        <f>274515-169559-38668</f>
        <v>66288</v>
      </c>
      <c r="G21">
        <f>+'Financial Statements'!B8-'Financial Statements'!B12-'Financial Statements'!B17</f>
        <v>119437</v>
      </c>
      <c r="H21">
        <f>+'Financial Statements'!C8-'Financial Statements'!C12-'Financial Statements'!C17</f>
        <v>108949</v>
      </c>
      <c r="I21">
        <f>+'Financial Statements'!D8-'Financial Statements'!D12-'Financial Statements'!D17</f>
        <v>66288</v>
      </c>
    </row>
    <row r="22" spans="1:10" x14ac:dyDescent="0.3">
      <c r="A22" s="25">
        <f>+A20+0.1</f>
        <v>2.4000000000000004</v>
      </c>
      <c r="B22" s="6" t="s">
        <v>125</v>
      </c>
      <c r="C22">
        <f>(99803/394328)*100</f>
        <v>25.309640705199733</v>
      </c>
      <c r="D22">
        <f>(94680/365817)*100</f>
        <v>25.881793355694239</v>
      </c>
      <c r="E22">
        <f>(57411/274515)*100</f>
        <v>20.913611278072235</v>
      </c>
      <c r="G22">
        <f>+'Financial Statements'!B22/'Financial Statements'!B8</f>
        <v>0.25309640705199732</v>
      </c>
      <c r="H22">
        <f>+'Financial Statements'!C22/'Financial Statements'!C8</f>
        <v>0.25881793355694238</v>
      </c>
      <c r="I22">
        <f>+'Financial Statements'!D22/'Financial Statements'!D8</f>
        <v>0.20913611278072236</v>
      </c>
    </row>
    <row r="23" spans="1:10" x14ac:dyDescent="0.3">
      <c r="A23" s="25"/>
    </row>
    <row r="24" spans="1:10" x14ac:dyDescent="0.3">
      <c r="A24" s="25">
        <f>+A16+1</f>
        <v>3</v>
      </c>
      <c r="B24" s="4" t="s">
        <v>126</v>
      </c>
    </row>
    <row r="25" spans="1:10" x14ac:dyDescent="0.3">
      <c r="A25" s="25">
        <f t="shared" ref="A25:A30" si="1">+A24+0.1</f>
        <v>3.1</v>
      </c>
      <c r="B25" s="6" t="s">
        <v>127</v>
      </c>
      <c r="C25">
        <f>98959/50672</f>
        <v>1.9529325860435744</v>
      </c>
      <c r="D25">
        <f>109106/63090</f>
        <v>1.729370740212395</v>
      </c>
      <c r="E25">
        <f>98667/65339</f>
        <v>1.5100782075024104</v>
      </c>
      <c r="G25" s="27">
        <f>+'Financial Statements'!B59/'Financial Statements'!B68</f>
        <v>1.9529325860435744</v>
      </c>
      <c r="H25" s="27">
        <f>+'Financial Statements'!C59/'Financial Statements'!C68</f>
        <v>1.729370740212395</v>
      </c>
      <c r="I25" s="27">
        <f>+'Financial Statements'!D59/'Financial Statements'!D68</f>
        <v>1.5100782075024104</v>
      </c>
      <c r="J25" s="29"/>
    </row>
    <row r="26" spans="1:10" x14ac:dyDescent="0.3">
      <c r="A26" s="25">
        <f t="shared" si="1"/>
        <v>3.2</v>
      </c>
      <c r="B26" s="6" t="s">
        <v>128</v>
      </c>
      <c r="C26">
        <f>98959/352755</f>
        <v>0.28053181386514719</v>
      </c>
      <c r="D26">
        <f>109106/351002</f>
        <v>0.31084153366647482</v>
      </c>
      <c r="E26">
        <f>98667/323888</f>
        <v>0.30463308304105124</v>
      </c>
      <c r="G26" s="27">
        <f>+'Financial Statements'!B59/'Financial Statements'!B69</f>
        <v>0.28053181386514719</v>
      </c>
      <c r="H26" s="27">
        <f>+'Financial Statements'!C59/'Financial Statements'!C69</f>
        <v>0.31084153366647482</v>
      </c>
      <c r="I26" s="27">
        <f>+'Financial Statements'!D59/'Financial Statements'!D69</f>
        <v>0.30463308304105124</v>
      </c>
      <c r="J26" s="29"/>
    </row>
    <row r="27" spans="1:10" x14ac:dyDescent="0.3">
      <c r="A27" s="25">
        <f t="shared" si="1"/>
        <v>3.3000000000000003</v>
      </c>
      <c r="B27" s="6" t="s">
        <v>129</v>
      </c>
      <c r="C27">
        <f>11128/(11128+50672)</f>
        <v>0.18006472491909384</v>
      </c>
      <c r="D27">
        <f>9613/(9613+63090)</f>
        <v>0.13222287938599508</v>
      </c>
      <c r="E27">
        <f>8773/(8773+65339)</f>
        <v>0.1183748920552677</v>
      </c>
      <c r="G27" s="27">
        <f>+'Financial Statements'!B55/('Financial Statements'!B68+'Financial Statements'!B55)</f>
        <v>0.18006472491909384</v>
      </c>
      <c r="H27" s="27">
        <f>+'Financial Statements'!C55/('Financial Statements'!C68+'Financial Statements'!C55)</f>
        <v>0.13222287938599508</v>
      </c>
      <c r="I27" s="27">
        <f>+'Financial Statements'!D55/('Financial Statements'!D68+'Financial Statements'!D55)</f>
        <v>0.1183748920552677</v>
      </c>
      <c r="J27" s="29"/>
    </row>
    <row r="28" spans="1:10" x14ac:dyDescent="0.3">
      <c r="A28" s="25">
        <f t="shared" si="1"/>
        <v>3.4000000000000004</v>
      </c>
      <c r="B28" s="6" t="s">
        <v>130</v>
      </c>
      <c r="C28" s="30">
        <f>C21/2931</f>
        <v>40.749573524394407</v>
      </c>
      <c r="D28" s="30">
        <f>D21/2645</f>
        <v>41.190548204158787</v>
      </c>
      <c r="E28" s="30">
        <f>E21/2873</f>
        <v>23.072746258266619</v>
      </c>
      <c r="F28" s="30"/>
      <c r="G28" s="27">
        <f>(+'Financial Statements'!B8-'Financial Statements'!B12-'Financial Statements'!B17)/'Financial Statements'!B114</f>
        <v>41.68830715532286</v>
      </c>
      <c r="H28" s="27">
        <f>(+'Financial Statements'!C8-'Financial Statements'!C12-'Financial Statements'!C17)/'Financial Statements'!C114</f>
        <v>40.546706363974693</v>
      </c>
      <c r="I28" s="27">
        <f>(+'Financial Statements'!D8-'Financial Statements'!D12-'Financial Statements'!D17)/'Financial Statements'!D114</f>
        <v>22.081279147235175</v>
      </c>
      <c r="J28" s="29"/>
    </row>
    <row r="29" spans="1:10" x14ac:dyDescent="0.3">
      <c r="A29" s="25">
        <f t="shared" si="1"/>
        <v>3.5000000000000004</v>
      </c>
      <c r="B29" s="6" t="s">
        <v>131</v>
      </c>
      <c r="C29">
        <f>C21/(5465+2865)</f>
        <v>14.338175270108044</v>
      </c>
      <c r="D29">
        <f>D21/(20393+2687)</f>
        <v>4.7204939341421142</v>
      </c>
      <c r="E29">
        <f>E21/(16091+3002)</f>
        <v>3.4718483213743259</v>
      </c>
      <c r="G29" s="27">
        <f>(+'Financial Statements'!B8-'Financial Statements'!B12-'Financial Statements'!B17)/('Financial Statements'!B104+'Financial Statements'!B114)</f>
        <v>14.338175270108044</v>
      </c>
      <c r="H29" s="27">
        <f>(+'Financial Statements'!C8-'Financial Statements'!C12-'Financial Statements'!C17)/('Financial Statements'!C104+'Financial Statements'!C114)</f>
        <v>4.7204939341421142</v>
      </c>
      <c r="I29" s="27">
        <f>(+'Financial Statements'!D8-'Financial Statements'!D12-'Financial Statements'!D17)/('Financial Statements'!D104+'Financial Statements'!D114)</f>
        <v>3.4718483213743259</v>
      </c>
      <c r="J29" s="29"/>
    </row>
    <row r="30" spans="1:10" x14ac:dyDescent="0.3">
      <c r="A30" s="25">
        <f t="shared" si="1"/>
        <v>3.6000000000000005</v>
      </c>
      <c r="B30" s="6" t="s">
        <v>132</v>
      </c>
      <c r="C30">
        <f>122151/16325</f>
        <v>7.482450229709035</v>
      </c>
      <c r="D30">
        <f>104038/16864</f>
        <v>6.1692362428842502</v>
      </c>
      <c r="E30">
        <f>80674/17528</f>
        <v>4.6025787311729802</v>
      </c>
      <c r="G30" s="27">
        <f>+'Financial Statements'!B91/('Financial Statements'!B28/1000)</f>
        <v>7.4820748655856102</v>
      </c>
      <c r="H30" s="27">
        <f>+'Financial Statements'!C91/('Financial Statements'!C28/1000)</f>
        <v>6.1689000700210883</v>
      </c>
      <c r="I30" s="27">
        <f>+'Financial Statements'!D91/('Financial Statements'!D28/1000)</f>
        <v>4.6025225388051512</v>
      </c>
      <c r="J30" s="26"/>
    </row>
    <row r="31" spans="1:10" x14ac:dyDescent="0.3">
      <c r="A31" s="25"/>
      <c r="B31" s="22" t="s">
        <v>133</v>
      </c>
      <c r="C31">
        <f>122151-(42117-39440+11104)+24977</f>
        <v>133347</v>
      </c>
      <c r="D31">
        <f>104038-(39440-36766+11284)+35929</f>
        <v>126009</v>
      </c>
      <c r="E31">
        <f>80672-(36766-37378+11056)+39789</f>
        <v>110017</v>
      </c>
      <c r="G31">
        <f>+'Financial Statements'!B91-('Financial Statements'!B45-'Financial Statements'!C45+'Financial Statements'!B79)+'Financial Statements'!B110</f>
        <v>133347</v>
      </c>
      <c r="H31">
        <f>+'Financial Statements'!C91-('Financial Statements'!C45-'Financial Statements'!D45+'Financial Statements'!C79)+'Financial Statements'!C110</f>
        <v>126009</v>
      </c>
      <c r="I31">
        <f>+'Financial Statements'!D91-('Financial Statements'!D45-'Financial Statements'!E45+'Financial Statements'!D79)+'Financial Statements'!D110</f>
        <v>72641</v>
      </c>
    </row>
    <row r="32" spans="1:10" x14ac:dyDescent="0.3">
      <c r="A32" s="25"/>
    </row>
    <row r="33" spans="1:10" x14ac:dyDescent="0.3">
      <c r="A33" s="25">
        <f>+A24+1</f>
        <v>4</v>
      </c>
      <c r="B33" s="7" t="s">
        <v>134</v>
      </c>
    </row>
    <row r="34" spans="1:10" x14ac:dyDescent="0.3">
      <c r="A34" s="25">
        <f>+A33+0.1</f>
        <v>4.0999999999999996</v>
      </c>
      <c r="B34" s="6" t="s">
        <v>135</v>
      </c>
      <c r="C34">
        <f>394328/352775</f>
        <v>1.1177889589681809</v>
      </c>
      <c r="D34">
        <f>365817/351002</f>
        <v>1.0422077367080529</v>
      </c>
      <c r="E34">
        <f>274515/323888</f>
        <v>0.84756150274168851</v>
      </c>
      <c r="G34" s="27">
        <f>+'Financial Statements'!B8/'Financial Statements'!B48</f>
        <v>1.1178523337727317</v>
      </c>
      <c r="H34" s="27">
        <f>+'Financial Statements'!C8/'Financial Statements'!C48</f>
        <v>1.0422077367080529</v>
      </c>
      <c r="I34" s="27">
        <f>+'Financial Statements'!D8/'Financial Statements'!D48</f>
        <v>0.84756150274168851</v>
      </c>
    </row>
    <row r="35" spans="1:10" x14ac:dyDescent="0.3">
      <c r="A35" s="25">
        <f>+A34+0.1</f>
        <v>4.1999999999999993</v>
      </c>
      <c r="B35" s="6" t="s">
        <v>136</v>
      </c>
      <c r="C35">
        <f>394328/42117</f>
        <v>9.3626801529073767</v>
      </c>
      <c r="D35">
        <f>365817/39440</f>
        <v>9.2752789046653152</v>
      </c>
      <c r="E35">
        <f>274515/36766</f>
        <v>7.4665451776097482</v>
      </c>
      <c r="G35" s="27">
        <f>+'Financial Statements'!B8/'Financial Statements'!B45</f>
        <v>9.3626801529073767</v>
      </c>
      <c r="H35" s="27">
        <f>+'Financial Statements'!C8/'Financial Statements'!C45</f>
        <v>9.2752789046653152</v>
      </c>
      <c r="I35" s="27">
        <f>+'Financial Statements'!D8/'Financial Statements'!D45</f>
        <v>7.4665451776097482</v>
      </c>
    </row>
    <row r="36" spans="1:10" x14ac:dyDescent="0.3">
      <c r="A36" s="25">
        <f>+A35+0.1</f>
        <v>4.2999999999999989</v>
      </c>
      <c r="B36" s="6" t="s">
        <v>137</v>
      </c>
      <c r="C36">
        <f>394328/4946</f>
        <v>79.726647796198947</v>
      </c>
      <c r="D36">
        <f>365817/6580</f>
        <v>55.595288753799394</v>
      </c>
      <c r="E36">
        <f>274515/4061</f>
        <v>67.597882295001227</v>
      </c>
      <c r="G36" s="27">
        <f>+'Financial Statements'!B8/'Financial Statements'!B39</f>
        <v>79.726647796198947</v>
      </c>
      <c r="H36" s="27">
        <f>+'Financial Statements'!C8/'Financial Statements'!C39</f>
        <v>55.595288753799394</v>
      </c>
      <c r="I36" s="27">
        <f>+'Financial Statements'!D8/'Financial Statements'!D39</f>
        <v>67.597882295001227</v>
      </c>
    </row>
    <row r="37" spans="1:10" x14ac:dyDescent="0.3">
      <c r="A37" s="25">
        <f>+A36+0.1</f>
        <v>4.3999999999999986</v>
      </c>
      <c r="B37" s="6" t="s">
        <v>138</v>
      </c>
      <c r="C37">
        <f>99803/352755</f>
        <v>0.28292440929256851</v>
      </c>
      <c r="D37">
        <f>94680/351002</f>
        <v>0.26974205275183616</v>
      </c>
      <c r="E37">
        <f>57411/323888</f>
        <v>0.1772557180259843</v>
      </c>
      <c r="G37" s="27">
        <f>+'Financial Statements'!B76/'Financial Statements'!B48</f>
        <v>0.28292440929256851</v>
      </c>
      <c r="H37" s="27">
        <f>+'Financial Statements'!C76/'Financial Statements'!C48</f>
        <v>0.26974205275183616</v>
      </c>
      <c r="I37" s="27">
        <f>+'Financial Statements'!D76/'Financial Statements'!D48</f>
        <v>0.1772557180259843</v>
      </c>
    </row>
    <row r="38" spans="1:10" x14ac:dyDescent="0.3">
      <c r="A38" s="25"/>
      <c r="G38" s="27"/>
      <c r="H38" s="27"/>
      <c r="I38" s="27"/>
    </row>
    <row r="39" spans="1:10" x14ac:dyDescent="0.3">
      <c r="A39" s="25">
        <f>+A33+1</f>
        <v>5</v>
      </c>
      <c r="B39" s="7" t="s">
        <v>139</v>
      </c>
      <c r="G39" s="27"/>
      <c r="H39" s="27"/>
      <c r="I39" s="27"/>
    </row>
    <row r="40" spans="1:10" x14ac:dyDescent="0.3">
      <c r="A40" s="25">
        <f>+A39+0.1</f>
        <v>5.0999999999999996</v>
      </c>
      <c r="B40" s="6" t="s">
        <v>140</v>
      </c>
      <c r="C40">
        <f>150/C41</f>
        <v>28.627504060638874</v>
      </c>
      <c r="D40">
        <f>150/D41</f>
        <v>31.231221871766422</v>
      </c>
      <c r="E40">
        <f>150/E41</f>
        <v>36.776142785206737</v>
      </c>
      <c r="G40" s="27">
        <f>150/'List of Ratios'!C41</f>
        <v>28.627504060638874</v>
      </c>
      <c r="H40" s="27">
        <f>150/'List of Ratios'!D41</f>
        <v>31.231221871766422</v>
      </c>
      <c r="I40" s="27">
        <f>150/'List of Ratios'!E41</f>
        <v>36.776142785206737</v>
      </c>
    </row>
    <row r="41" spans="1:10" x14ac:dyDescent="0.3">
      <c r="A41" s="25">
        <f>+A40+0.1</f>
        <v>5.1999999999999993</v>
      </c>
      <c r="B41" s="22" t="s">
        <v>141</v>
      </c>
      <c r="C41">
        <f>(99803-14841)/16215</f>
        <v>5.2397163120567374</v>
      </c>
      <c r="D41">
        <f>(94680-14467)/16701</f>
        <v>4.8028860547272618</v>
      </c>
      <c r="E41">
        <f>(57411--14081)/17528</f>
        <v>4.0787311729803744</v>
      </c>
      <c r="G41" s="27">
        <f>(+'Financial Statements'!B22-'Financial Statements'!B102)/'Financial Statements'!B28*1000</f>
        <v>7.0222510735908568</v>
      </c>
      <c r="H41" s="27">
        <f>(+'Financial Statements'!C22-'Financial Statements'!C102)/'Financial Statements'!C28*1000</f>
        <v>6.4718365976142547</v>
      </c>
      <c r="I41" s="27">
        <f>(+'Financial Statements'!D22-'Financial Statements'!D102)/'Financial Statements'!D28*1000</f>
        <v>4.0786813762086656</v>
      </c>
    </row>
    <row r="42" spans="1:10" x14ac:dyDescent="0.3">
      <c r="A42" s="25">
        <f>+A41+0.1</f>
        <v>5.2999999999999989</v>
      </c>
      <c r="B42" s="6" t="s">
        <v>142</v>
      </c>
      <c r="C42">
        <f>197.9/C43</f>
        <v>63.327843779602148</v>
      </c>
      <c r="D42">
        <f>197.9/D43</f>
        <v>52.387508321445559</v>
      </c>
      <c r="E42">
        <f>197.9/E43</f>
        <v>52.556066055495187</v>
      </c>
      <c r="G42" s="27">
        <f>197.9/('Financial Statements'!B68/'Financial Statements'!B28)</f>
        <v>63760.64848634354</v>
      </c>
      <c r="H42" s="27">
        <f>197.9/('Financial Statements'!C68/'Financial Statements'!C28)</f>
        <v>52901.687590743386</v>
      </c>
      <c r="I42" s="27">
        <f>197.9/('Financial Statements'!D68/'Financial Statements'!D28)</f>
        <v>53089.786354244781</v>
      </c>
      <c r="J42" t="s">
        <v>163</v>
      </c>
    </row>
    <row r="43" spans="1:10" x14ac:dyDescent="0.3">
      <c r="A43" s="25">
        <f>+A42+0.1</f>
        <v>5.3999999999999986</v>
      </c>
      <c r="B43" s="22" t="s">
        <v>143</v>
      </c>
      <c r="C43">
        <f>50672/16215</f>
        <v>3.1250077089115016</v>
      </c>
      <c r="D43">
        <f>63090/16701</f>
        <v>3.7776181067001975</v>
      </c>
      <c r="E43">
        <f>65339/17352</f>
        <v>3.7655025357307514</v>
      </c>
      <c r="G43" s="27">
        <f>+'Financial Statements'!B68/('Financial Statements'!B28/1000)</f>
        <v>3.1037952827971451</v>
      </c>
      <c r="H43" s="27">
        <f>+'Financial Statements'!C68/('Financial Statements'!C28/1000)</f>
        <v>3.740901453484597</v>
      </c>
      <c r="I43" s="27">
        <f>+'Financial Statements'!D68/('Financial Statements'!D28/1000)</f>
        <v>3.7276473233382479</v>
      </c>
      <c r="J43" s="26"/>
    </row>
    <row r="44" spans="1:10" x14ac:dyDescent="0.3">
      <c r="A44" s="25">
        <f>+A43+0.1</f>
        <v>5.4999999999999982</v>
      </c>
      <c r="B44" s="6" t="s">
        <v>144</v>
      </c>
      <c r="C44">
        <f>C45/C41</f>
        <v>174.67809138202963</v>
      </c>
      <c r="D44">
        <f>D45/D41</f>
        <v>180.35729869223192</v>
      </c>
      <c r="E44">
        <f>E45/E41</f>
        <v>198.95684130878132</v>
      </c>
      <c r="G44" s="27">
        <f>(+'List of Ratios'!G45/'List of Ratios'!G41)</f>
        <v>130.32990153755395</v>
      </c>
      <c r="H44" s="27">
        <f>(+'List of Ratios'!H45/'List of Ratios'!H41)</f>
        <v>133.84476477732892</v>
      </c>
      <c r="I44" s="27">
        <f>(+'List of Ratios'!I45/'List of Ratios'!I41)</f>
        <v>198.95790592707684</v>
      </c>
      <c r="J44" s="31"/>
    </row>
    <row r="45" spans="1:10" x14ac:dyDescent="0.3">
      <c r="A45" s="25"/>
      <c r="B45" s="22" t="s">
        <v>145</v>
      </c>
      <c r="C45">
        <f>14841/(16215/1000)</f>
        <v>915.26364477335801</v>
      </c>
      <c r="D45">
        <f>14467/(16701/1000)</f>
        <v>866.23555475720013</v>
      </c>
      <c r="E45">
        <f>14081/(17352/1000)</f>
        <v>811.49147072383585</v>
      </c>
      <c r="G45" s="27">
        <f>(-'Financial Statements'!B102/('Financial Statements'!B27/1000))*1000</f>
        <v>915.20929099307887</v>
      </c>
      <c r="H45" s="27">
        <f>(-'Financial Statements'!C102/('Financial Statements'!C27/1000))*1000</f>
        <v>866.22144708498854</v>
      </c>
      <c r="I45" s="27">
        <f>(-'Financial Statements'!D102/('Financial Statements'!D27/1000))*1000</f>
        <v>811.48590555424391</v>
      </c>
      <c r="J45" s="31" t="s">
        <v>165</v>
      </c>
    </row>
    <row r="46" spans="1:10" x14ac:dyDescent="0.3">
      <c r="A46" s="25">
        <f>+A44+0.1</f>
        <v>5.5999999999999979</v>
      </c>
      <c r="B46" s="6" t="s">
        <v>146</v>
      </c>
      <c r="C46">
        <f>C45/197.9</f>
        <v>4.6248794581776549</v>
      </c>
      <c r="D46">
        <f>D45/197.9</f>
        <v>4.3771377198443666</v>
      </c>
      <c r="E46">
        <f>E45/197.9</f>
        <v>4.1005127373614743</v>
      </c>
      <c r="G46" s="27">
        <f>'List of Ratios'!G45/197.9</f>
        <v>4.6246048054223285</v>
      </c>
      <c r="H46" s="27">
        <f>'List of Ratios'!H45/197.9</f>
        <v>4.37706643297114</v>
      </c>
      <c r="I46" s="27">
        <f>'List of Ratios'!I45/197.9</f>
        <v>4.1004846162417579</v>
      </c>
      <c r="J46" s="31"/>
    </row>
    <row r="47" spans="1:10" x14ac:dyDescent="0.3">
      <c r="A47" s="25">
        <f>+A45+0.1</f>
        <v>0.1</v>
      </c>
      <c r="B47" s="6" t="s">
        <v>147</v>
      </c>
      <c r="C47">
        <f>99803/50672</f>
        <v>1.9695887275023682</v>
      </c>
      <c r="D47">
        <f>94680/63090</f>
        <v>1.5007132667617689</v>
      </c>
      <c r="E47">
        <f>57411/65339</f>
        <v>0.87866358530127486</v>
      </c>
      <c r="G47" s="27">
        <f>+'Financial Statements'!B76/'Financial Statements'!B68</f>
        <v>1.9695887275023682</v>
      </c>
      <c r="H47" s="27">
        <f>+'Financial Statements'!C76/'Financial Statements'!C68</f>
        <v>1.5007132667617689</v>
      </c>
      <c r="I47" s="27">
        <f>+'Financial Statements'!D76/'Financial Statements'!D68</f>
        <v>0.87866358530127486</v>
      </c>
    </row>
    <row r="48" spans="1:10" x14ac:dyDescent="0.3">
      <c r="A48" s="25">
        <f>+A46+0.1</f>
        <v>5.6999999999999975</v>
      </c>
      <c r="B48" s="6" t="s">
        <v>148</v>
      </c>
      <c r="C48">
        <f>C21/(50672+98959)</f>
        <v>0.79821026391589978</v>
      </c>
      <c r="D48">
        <f>D21/(63090+109106)</f>
        <v>0.63270343097400639</v>
      </c>
      <c r="E48">
        <f>E21/(65339+98667)</f>
        <v>0.40418033486579757</v>
      </c>
      <c r="G48" s="27">
        <f>(+'Financial Statements'!B8-'Financial Statements'!B12-'Financial Statements'!B17)/('Financial Statements'!B68+'Financial Statements'!B59)</f>
        <v>0.79821026391589978</v>
      </c>
      <c r="H48" s="27">
        <f>(+'Financial Statements'!C8-'Financial Statements'!C12-'Financial Statements'!C17)/('Financial Statements'!C68+'Financial Statements'!C59)</f>
        <v>0.63270343097400639</v>
      </c>
      <c r="I48" s="27">
        <f>(+'Financial Statements'!D8-'Financial Statements'!D12-'Financial Statements'!D17)/('Financial Statements'!D68+'Financial Statements'!D59)</f>
        <v>0.40418033486579757</v>
      </c>
      <c r="J48" s="29"/>
    </row>
    <row r="49" spans="1:9" x14ac:dyDescent="0.3">
      <c r="A49" s="25">
        <f>+A47+0.1</f>
        <v>0.2</v>
      </c>
      <c r="B49" s="6" t="s">
        <v>138</v>
      </c>
      <c r="C49">
        <f>99803/352755</f>
        <v>0.28292440929256851</v>
      </c>
      <c r="D49">
        <f>94680/351002</f>
        <v>0.26974205275183616</v>
      </c>
      <c r="E49">
        <f>E37</f>
        <v>0.1772557180259843</v>
      </c>
      <c r="G49" s="27">
        <f>+'Financial Statements'!B76/'Financial Statements'!B69</f>
        <v>0.28292440929256851</v>
      </c>
      <c r="H49" s="27">
        <f>+'Financial Statements'!C76/'Financial Statements'!C69</f>
        <v>0.26974205275183616</v>
      </c>
      <c r="I49" s="27">
        <f>+'Financial Statements'!D76/'Financial Statements'!D69</f>
        <v>0.1772557180259843</v>
      </c>
    </row>
    <row r="50" spans="1:9" x14ac:dyDescent="0.3">
      <c r="A50" s="25">
        <f>+A48+0.1</f>
        <v>5.7999999999999972</v>
      </c>
      <c r="B50" s="6" t="s">
        <v>149</v>
      </c>
      <c r="C50">
        <f>C51/C19</f>
        <v>2.1576954175316567</v>
      </c>
      <c r="D50">
        <f>D51/D19</f>
        <v>2.1315040621127315</v>
      </c>
      <c r="E50">
        <f>E51/E19</f>
        <v>2.895707171855606</v>
      </c>
      <c r="G50" s="27">
        <f>+'List of Ratios'!C51/'List of Ratios'!C19</f>
        <v>2.1576954175316567</v>
      </c>
      <c r="H50" s="27">
        <f>+'List of Ratios'!D51/'List of Ratios'!D19</f>
        <v>2.1315040621127315</v>
      </c>
      <c r="I50" s="27">
        <f>+'List of Ratios'!E51/'List of Ratios'!E19</f>
        <v>2.895707171855606</v>
      </c>
    </row>
    <row r="51" spans="1:9" x14ac:dyDescent="0.3">
      <c r="A51" s="25"/>
      <c r="B51" s="22" t="s">
        <v>150</v>
      </c>
      <c r="C51">
        <f>((197.9*16325)/1000)+302083-23646</f>
        <v>281667.71750000003</v>
      </c>
      <c r="D51">
        <f>(197.9*16701/1000)+287912-34940</f>
        <v>256277.12790000002</v>
      </c>
      <c r="E51">
        <f>((197.9*17345)/1000)+258549-38016</f>
        <v>223965.57550000001</v>
      </c>
      <c r="G51" s="27">
        <f>('Financial Statements'!B28*197.9/1000)+'Financial Statements'!B62-'Financial Statements'!B36</f>
        <v>3509316.5800999999</v>
      </c>
      <c r="H51" s="27">
        <f>('Financial Statements'!C28*197.9/1000)+'Financial Statements'!C62-'Financial Statements'!C36</f>
        <v>3590539.4701</v>
      </c>
      <c r="I51" s="27">
        <f>('Financial Statements'!D28*197.9/1000)+'Financial Statements'!D62-'Financial Statements'!D36</f>
        <v>3689366.5505999997</v>
      </c>
    </row>
    <row r="53" spans="1:9" x14ac:dyDescent="0.3">
      <c r="A53">
        <v>6</v>
      </c>
      <c r="B53" t="s">
        <v>151</v>
      </c>
    </row>
    <row r="54" spans="1:9" x14ac:dyDescent="0.3">
      <c r="B54" t="s">
        <v>152</v>
      </c>
      <c r="C54">
        <f>((316199-297392)/297392)*100</f>
        <v>6.3239764351428418</v>
      </c>
      <c r="D54">
        <f>((297392-220747)/220747)*100</f>
        <v>34.720743656765436</v>
      </c>
      <c r="E54">
        <f>((220747-213883)/213883)*100</f>
        <v>3.2092312151970939</v>
      </c>
      <c r="G54">
        <f>(+'Financial Statements'!B6-'Financial Statements'!C6)/'Financial Statements'!C6</f>
        <v>6.3239764351428418E-2</v>
      </c>
      <c r="H54">
        <f>(+'Financial Statements'!C6-'Financial Statements'!D6)/'Financial Statements'!D6</f>
        <v>0.34720743656765435</v>
      </c>
      <c r="I54" t="e">
        <f>(+'Financial Statements'!D6-'Financial Statements'!E6)/'Financial Statements'!E6</f>
        <v>#DIV/0!</v>
      </c>
    </row>
    <row r="55" spans="1:9" x14ac:dyDescent="0.3">
      <c r="B55" t="s">
        <v>27</v>
      </c>
      <c r="C55">
        <f>((78129-68425)/68425)*100</f>
        <v>14.181951041286078</v>
      </c>
      <c r="D55">
        <f>((68425-53768)/53768)*100</f>
        <v>27.259708376729652</v>
      </c>
      <c r="E55">
        <f>((53768-46291)/53768)*100</f>
        <v>13.906040767742894</v>
      </c>
      <c r="G55">
        <f>(+'Financial Statements'!B7-'Financial Statements'!C7)/'Financial Statements'!C7</f>
        <v>0.14181951041286078</v>
      </c>
      <c r="H55">
        <f>(+'Financial Statements'!C7-'Financial Statements'!D7)/'Financial Statements'!D7</f>
        <v>0.27259708376729652</v>
      </c>
      <c r="I55" t="e">
        <f>(+'Financial Statements'!D7-'Financial Statements'!E7)/'Financial Statements'!E7</f>
        <v>#DIV/0!</v>
      </c>
    </row>
    <row r="56" spans="1:9" x14ac:dyDescent="0.3">
      <c r="B56" t="s">
        <v>153</v>
      </c>
      <c r="C56">
        <f>((394328-365817)/365817)*100</f>
        <v>7.7937876041846055</v>
      </c>
      <c r="D56">
        <f>((365817-274515)/274515)*100</f>
        <v>33.25938473307469</v>
      </c>
      <c r="E56">
        <f>((274515-260174)/260174)*100</f>
        <v>5.5120803769784832</v>
      </c>
      <c r="G56">
        <f>(+'Financial Statements'!B8-'Financial Statements'!C8)/'Financial Statements'!C8</f>
        <v>7.7937876041846058E-2</v>
      </c>
      <c r="H56">
        <f>(+'Financial Statements'!C8-'Financial Statements'!D8)/'Financial Statements'!D8</f>
        <v>0.33259384733074693</v>
      </c>
      <c r="I56" t="e">
        <f>(+'Financial Statements'!D8-'Financial Statements'!E8)/'Financial Statements'!E8</f>
        <v>#DIV/0!</v>
      </c>
    </row>
    <row r="57" spans="1:9" x14ac:dyDescent="0.3">
      <c r="B57" t="s">
        <v>7</v>
      </c>
      <c r="C57">
        <f>(170782/394328)*100</f>
        <v>43.309630561360088</v>
      </c>
      <c r="D57">
        <f>(152836/365817)*100</f>
        <v>41.779359625167778</v>
      </c>
      <c r="E57">
        <f>(104956/274515)*100</f>
        <v>38.233247727810863</v>
      </c>
      <c r="G57">
        <f>+'Financial Statements'!B13/'Financial Statements'!B8</f>
        <v>0.43309630561360085</v>
      </c>
      <c r="H57">
        <f>+'Financial Statements'!C13/'Financial Statements'!C8</f>
        <v>0.41779359625167778</v>
      </c>
      <c r="I57">
        <f>+'Financial Statements'!D13/'Financial Statements'!D8</f>
        <v>0.38233247727810865</v>
      </c>
    </row>
    <row r="58" spans="1:9" x14ac:dyDescent="0.3">
      <c r="B58" t="s">
        <v>154</v>
      </c>
      <c r="C58">
        <f>((51345-43887)/43887)*100</f>
        <v>16.993642764372137</v>
      </c>
      <c r="D58">
        <f>((43887-38668)/38668)*100</f>
        <v>13.496948381090307</v>
      </c>
      <c r="E58">
        <f>((38668-34462)/34462)*100</f>
        <v>12.204747257849226</v>
      </c>
      <c r="G58">
        <f>(+'Financial Statements'!B17-'Financial Statements'!C17)/'Financial Statements'!C17</f>
        <v>0.16993642764372138</v>
      </c>
      <c r="H58">
        <f>(+'Financial Statements'!C17-'Financial Statements'!D17)/'Financial Statements'!D17</f>
        <v>0.13496948381090307</v>
      </c>
      <c r="I58" t="e">
        <f>(+'Financial Statements'!D17-'Financial Statements'!E17)/'Financial Statements'!E17</f>
        <v>#DIV/0!</v>
      </c>
    </row>
    <row r="59" spans="1:9" x14ac:dyDescent="0.3">
      <c r="B59" s="6" t="s">
        <v>9</v>
      </c>
      <c r="C59" t="s">
        <v>155</v>
      </c>
      <c r="D59" t="s">
        <v>155</v>
      </c>
      <c r="E59" t="s">
        <v>155</v>
      </c>
    </row>
    <row r="60" spans="1:9" x14ac:dyDescent="0.3">
      <c r="B60" s="6" t="s">
        <v>156</v>
      </c>
      <c r="C60">
        <f>((352755-351002)/352755)*100</f>
        <v>0.49694547206985018</v>
      </c>
      <c r="D60">
        <f>((351002-323888)/351002)*100</f>
        <v>7.7247423091606313</v>
      </c>
      <c r="E60">
        <f>((323888-338516)/323888)*100</f>
        <v>-4.5163760312206689</v>
      </c>
      <c r="G60">
        <f>(+'Financial Statements'!B48-'Financial Statements'!C48)/'Financial Statements'!B48</f>
        <v>4.9694547206985016E-3</v>
      </c>
      <c r="H60">
        <f>(+'Financial Statements'!C48-'Financial Statements'!D48)/'Financial Statements'!C48</f>
        <v>7.7247423091606315E-2</v>
      </c>
      <c r="I60">
        <f>(+'Financial Statements'!D48-'Financial Statements'!E48)/'Financial Statements'!D48</f>
        <v>1</v>
      </c>
    </row>
    <row r="61" spans="1:9" x14ac:dyDescent="0.3">
      <c r="B61" t="s">
        <v>157</v>
      </c>
      <c r="C61">
        <f>((302083-287912)/302083)*100</f>
        <v>4.6910948315529177</v>
      </c>
      <c r="D61">
        <f>((287912-258549)/287912)*100</f>
        <v>10.198602350718275</v>
      </c>
      <c r="E61">
        <f>((258549-248028)/258549)*100</f>
        <v>4.069247995544365</v>
      </c>
      <c r="G61">
        <f>(+'Financial Statements'!B62-'Financial Statements'!C62)/'Financial Statements'!C62</f>
        <v>4.9219900525160468E-2</v>
      </c>
      <c r="H61">
        <f>(+'Financial Statements'!C62-'Financial Statements'!D62)/'Financial Statements'!D62</f>
        <v>0.11356841449783213</v>
      </c>
      <c r="I61" t="e">
        <f>(+'Financial Statements'!D20-'Financial Statements'!E20)/'Financial Statements'!E20</f>
        <v>#DIV/0!</v>
      </c>
    </row>
    <row r="62" spans="1:9" x14ac:dyDescent="0.3">
      <c r="B62" t="s">
        <v>158</v>
      </c>
      <c r="C62">
        <f>((50672-63090)/50672)*100</f>
        <v>-24.506630880959897</v>
      </c>
      <c r="D62">
        <f>((63090-65339)/63090)*100</f>
        <v>-3.5647487715961326</v>
      </c>
      <c r="E62">
        <f>((65339-90488)/65339)*100</f>
        <v>-38.490028926062536</v>
      </c>
      <c r="G62">
        <f>(+'Financial Statements'!B68-'Financial Statements'!C68)/'Financial Statements'!B68</f>
        <v>-0.24506630880959898</v>
      </c>
      <c r="H62">
        <f>(+'Financial Statements'!C68-'Financial Statements'!D68)/'Financial Statements'!C68</f>
        <v>-3.5647487715961323E-2</v>
      </c>
      <c r="I62">
        <f>(+'Financial Statements'!D68-'Financial Statements'!E68)/'Financial Statements'!D68</f>
        <v>1</v>
      </c>
    </row>
    <row r="64" spans="1:9" x14ac:dyDescent="0.3">
      <c r="A64">
        <v>7</v>
      </c>
      <c r="B64" t="s">
        <v>159</v>
      </c>
    </row>
    <row r="65" spans="1:10" x14ac:dyDescent="0.3">
      <c r="B65" s="6" t="s">
        <v>11</v>
      </c>
      <c r="C65">
        <f>(223546/394328)*100</f>
        <v>56.690369438639912</v>
      </c>
      <c r="D65">
        <f>(212981/365817)*100</f>
        <v>58.220640374832222</v>
      </c>
      <c r="E65">
        <f>(169559/274515)*100</f>
        <v>61.76675227218913</v>
      </c>
      <c r="G65">
        <f>+'Financial Statements'!B12/'Financial Statements'!B8</f>
        <v>0.56690369438639909</v>
      </c>
      <c r="H65">
        <f>+'Financial Statements'!C12/'Financial Statements'!C8</f>
        <v>0.58220640374832222</v>
      </c>
      <c r="I65">
        <f>+'Financial Statements'!D12/'Financial Statements'!D8</f>
        <v>0.61766752272189129</v>
      </c>
    </row>
    <row r="66" spans="1:10" x14ac:dyDescent="0.3">
      <c r="B66" s="6" t="s">
        <v>7</v>
      </c>
      <c r="C66">
        <f>(170782/394328)*100</f>
        <v>43.309630561360088</v>
      </c>
      <c r="D66">
        <f>(152836/365817)*100</f>
        <v>41.779359625167778</v>
      </c>
      <c r="E66">
        <f>(104956/274515)*100</f>
        <v>38.233247727810863</v>
      </c>
      <c r="G66">
        <f>+'Financial Statements'!B13/'Financial Statements'!B8</f>
        <v>0.43309630561360085</v>
      </c>
      <c r="H66">
        <f>+'Financial Statements'!C13/'Financial Statements'!C8</f>
        <v>0.41779359625167778</v>
      </c>
      <c r="I66">
        <f>+'Financial Statements'!D13/'Financial Statements'!D8</f>
        <v>0.38233247727810865</v>
      </c>
    </row>
    <row r="67" spans="1:10" x14ac:dyDescent="0.3">
      <c r="B67" s="6" t="s">
        <v>8</v>
      </c>
      <c r="C67" t="s">
        <v>155</v>
      </c>
      <c r="D67" t="s">
        <v>155</v>
      </c>
      <c r="E67" t="s">
        <v>155</v>
      </c>
    </row>
    <row r="68" spans="1:10" x14ac:dyDescent="0.3">
      <c r="B68" s="6" t="s">
        <v>33</v>
      </c>
      <c r="C68">
        <f>(26251/394328)*100</f>
        <v>6.6571483637986653</v>
      </c>
      <c r="D68">
        <f>(21914/365817)*100</f>
        <v>5.9904269074427923</v>
      </c>
      <c r="E68">
        <f>(18752/274515)*100</f>
        <v>6.8309564140393064</v>
      </c>
      <c r="G68" s="32">
        <f>+'Financial Statements'!B15/'Financial Statements'!B8</f>
        <v>6.657148363798665E-2</v>
      </c>
      <c r="H68" s="32">
        <f>+'Financial Statements'!C15/'Financial Statements'!C8</f>
        <v>5.9904269074427925E-2</v>
      </c>
      <c r="I68" s="32">
        <f>+'Financial Statements'!D15/'Financial Statements'!D8</f>
        <v>6.8309564140393061E-2</v>
      </c>
    </row>
    <row r="69" spans="1:10" x14ac:dyDescent="0.3">
      <c r="B69" s="6" t="s">
        <v>34</v>
      </c>
      <c r="C69">
        <f>(25094/394328)*100</f>
        <v>6.3637378020328264</v>
      </c>
      <c r="D69">
        <f>(21973/365817)*100</f>
        <v>6.0065551901633878</v>
      </c>
      <c r="E69">
        <f>(19916/274515)*100</f>
        <v>7.254976959364698</v>
      </c>
      <c r="G69" s="32">
        <f>+'Financial Statements'!B16/'Financial Statements'!B8</f>
        <v>6.3637378020328261E-2</v>
      </c>
      <c r="H69" s="32">
        <f>+'Financial Statements'!C16/'Financial Statements'!C8</f>
        <v>6.006555190163388E-2</v>
      </c>
      <c r="I69" s="32">
        <f>+'Financial Statements'!D16/'Financial Statements'!D8</f>
        <v>7.2549769593646979E-2</v>
      </c>
    </row>
    <row r="70" spans="1:10" x14ac:dyDescent="0.3">
      <c r="B70" s="6" t="s">
        <v>12</v>
      </c>
      <c r="C70">
        <f>(119437/394328)*100</f>
        <v>30.288744395528592</v>
      </c>
      <c r="D70">
        <f>(108949/365817)*100</f>
        <v>29.782377527561593</v>
      </c>
      <c r="E70">
        <f>(66288/274515)*100</f>
        <v>24.147314354406863</v>
      </c>
      <c r="G70" s="32">
        <f>+'Financial Statements'!B18/'Financial Statements'!B8</f>
        <v>0.30288744395528594</v>
      </c>
      <c r="H70" s="32">
        <f>+'Financial Statements'!C18/'Financial Statements'!C8</f>
        <v>0.29782377527561593</v>
      </c>
      <c r="I70" s="32">
        <f>+'Financial Statements'!D18/'Financial Statements'!D8</f>
        <v>0.24147314354406862</v>
      </c>
    </row>
    <row r="71" spans="1:10" x14ac:dyDescent="0.3">
      <c r="B71" s="6" t="s">
        <v>13</v>
      </c>
      <c r="C71">
        <f>(99803/394328)*100</f>
        <v>25.309640705199733</v>
      </c>
      <c r="D71">
        <f>(94680/365817)*100</f>
        <v>25.881793355694239</v>
      </c>
      <c r="E71">
        <f>(57411/274515)*100</f>
        <v>20.913611278072235</v>
      </c>
      <c r="G71" s="32">
        <f>+'Financial Statements'!B76/'Financial Statements'!B8</f>
        <v>0.25309640705199732</v>
      </c>
      <c r="H71" s="32">
        <f>+'Financial Statements'!C76/'Financial Statements'!C8</f>
        <v>0.25881793355694238</v>
      </c>
      <c r="I71" s="32">
        <f>+'Financial Statements'!D76/'Financial Statements'!D8</f>
        <v>0.20913611278072236</v>
      </c>
    </row>
    <row r="72" spans="1:10" x14ac:dyDescent="0.3">
      <c r="G72" s="32"/>
      <c r="H72" s="32"/>
      <c r="I72" s="32"/>
    </row>
    <row r="73" spans="1:10" x14ac:dyDescent="0.3">
      <c r="A73">
        <v>8</v>
      </c>
      <c r="B73" s="6" t="s">
        <v>160</v>
      </c>
      <c r="C73">
        <f>(19300/119103)*100</f>
        <v>16.204461684424405</v>
      </c>
      <c r="D73">
        <f>(14527/109207)*100</f>
        <v>13.302260844085087</v>
      </c>
      <c r="E73">
        <f>(9680/67091)*100</f>
        <v>14.428164731484102</v>
      </c>
      <c r="G73" s="32">
        <f>+'Financial Statements'!B21/'Financial Statements'!B20</f>
        <v>0.16204461684424407</v>
      </c>
      <c r="H73" s="32">
        <f>+'Financial Statements'!C21/'Financial Statements'!C20</f>
        <v>0.13302260844085087</v>
      </c>
      <c r="I73" s="32">
        <f>+'Financial Statements'!D21/'Financial Statements'!D20</f>
        <v>0.14428164731484103</v>
      </c>
    </row>
    <row r="74" spans="1:10" x14ac:dyDescent="0.3">
      <c r="B74" s="6" t="s">
        <v>161</v>
      </c>
      <c r="C74">
        <f>(10708/394328)*100</f>
        <v>2.715505873283155</v>
      </c>
      <c r="D74">
        <f>(11085/365817)*100</f>
        <v>3.0302036264033658</v>
      </c>
      <c r="E74">
        <f>(7309/274515)*100</f>
        <v>2.6625138881299746</v>
      </c>
      <c r="G74" s="32">
        <f>+'Financial Statements'!B96/'Financial Statements'!B8</f>
        <v>-2.7155058732831552E-2</v>
      </c>
      <c r="H74" s="32">
        <f>+'Financial Statements'!C96/'Financial Statements'!C8</f>
        <v>-3.0302036264033657E-2</v>
      </c>
      <c r="I74" s="32">
        <f>+'Financial Statements'!D96/'Financial Statements'!D8</f>
        <v>-2.6625138881299748E-2</v>
      </c>
      <c r="J74" t="s">
        <v>164</v>
      </c>
    </row>
    <row r="75" spans="1:10" x14ac:dyDescent="0.3">
      <c r="B75" s="6" t="s">
        <v>162</v>
      </c>
      <c r="C75">
        <f>(10708/217350)*100</f>
        <v>4.9266160570508397</v>
      </c>
      <c r="D75">
        <f>(11085/216166)*100</f>
        <v>5.1280034788079538</v>
      </c>
      <c r="E75">
        <f>(7309/180175)*100</f>
        <v>4.0566116275842932</v>
      </c>
      <c r="G75" s="32">
        <f>+'Financial Statements'!B96/'Financial Statements'!B47</f>
        <v>-4.9266160570508394E-2</v>
      </c>
      <c r="H75" s="32">
        <f>+'Financial Statements'!C96/'Financial Statements'!C47</f>
        <v>-5.1280034788079534E-2</v>
      </c>
      <c r="I75" s="32">
        <f>+'Financial Statements'!D96/'Financial Statements'!D47</f>
        <v>-4.0566116275842931E-2</v>
      </c>
      <c r="J75" t="s">
        <v>164</v>
      </c>
    </row>
    <row r="77" spans="1:10" x14ac:dyDescent="0.3">
      <c r="B77" s="6"/>
    </row>
    <row r="78" spans="1:10" x14ac:dyDescent="0.3">
      <c r="B78" s="6"/>
    </row>
    <row r="79" spans="1:10" x14ac:dyDescent="0.3">
      <c r="B79" s="6"/>
    </row>
    <row r="80" spans="1:10" x14ac:dyDescent="0.3">
      <c r="B80" s="6"/>
    </row>
    <row r="81" spans="2:2" x14ac:dyDescent="0.3">
      <c r="B81" s="6"/>
    </row>
    <row r="84" spans="2:2" x14ac:dyDescent="0.3">
      <c r="B84" s="6"/>
    </row>
    <row r="85" spans="2:2" x14ac:dyDescent="0.3">
      <c r="B85" s="6"/>
    </row>
    <row r="86" spans="2:2" x14ac:dyDescent="0.3">
      <c r="B86" s="6"/>
    </row>
  </sheetData>
  <mergeCells count="1">
    <mergeCell ref="C2:E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Shamla Yoosoof</cp:lastModifiedBy>
  <cp:revision>75</cp:revision>
  <dcterms:created xsi:type="dcterms:W3CDTF">2020-05-18T16:32:37Z</dcterms:created>
  <dcterms:modified xsi:type="dcterms:W3CDTF">2023-12-20T15:10:29Z</dcterms:modified>
  <dc:language>en-GB</dc:language>
</cp:coreProperties>
</file>