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AB169A21-EB63-466B-83EE-65966E569BC8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heet1" sheetId="8" r:id="rId1"/>
    <sheet name="Historicals" sheetId="4" r:id="rId2"/>
    <sheet name="Assumptions" sheetId="9" r:id="rId3"/>
    <sheet name="Segmental forecast" sheetId="3" r:id="rId4"/>
    <sheet name="Three Statement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B23" i="5"/>
  <c r="J47" i="5"/>
  <c r="I12" i="5"/>
  <c r="H12" i="5"/>
  <c r="H13" i="5"/>
  <c r="B13" i="5"/>
  <c r="J18" i="5"/>
  <c r="I17" i="5"/>
  <c r="K15" i="5"/>
  <c r="L15" i="5"/>
  <c r="J15" i="5"/>
  <c r="J17" i="5"/>
  <c r="K17" i="5"/>
  <c r="G15" i="5"/>
  <c r="L17" i="5" l="1"/>
  <c r="L18" i="5" s="1"/>
  <c r="M15" i="5"/>
  <c r="K18" i="5"/>
  <c r="M17" i="5" l="1"/>
  <c r="M18" i="5" s="1"/>
  <c r="N15" i="5"/>
  <c r="N17" i="5" l="1"/>
  <c r="N18" i="5" s="1"/>
  <c r="I13" i="5" l="1"/>
  <c r="I8" i="5"/>
  <c r="J3" i="5"/>
  <c r="K112" i="3"/>
  <c r="L112" i="3"/>
  <c r="M112" i="3"/>
  <c r="N112" i="3"/>
  <c r="J112" i="3"/>
  <c r="K109" i="3"/>
  <c r="L109" i="3"/>
  <c r="M109" i="3"/>
  <c r="N109" i="3"/>
  <c r="J109" i="3"/>
  <c r="K103" i="3"/>
  <c r="L103" i="3"/>
  <c r="M103" i="3"/>
  <c r="N103" i="3"/>
  <c r="J103" i="3"/>
  <c r="K99" i="3"/>
  <c r="L99" i="3"/>
  <c r="M99" i="3"/>
  <c r="N99" i="3"/>
  <c r="J99" i="3"/>
  <c r="K207" i="3"/>
  <c r="L207" i="3"/>
  <c r="M207" i="3"/>
  <c r="N207" i="3"/>
  <c r="J207" i="3"/>
  <c r="K203" i="3"/>
  <c r="L203" i="3"/>
  <c r="M203" i="3"/>
  <c r="N203" i="3"/>
  <c r="J203" i="3"/>
  <c r="K197" i="3"/>
  <c r="L197" i="3"/>
  <c r="M197" i="3"/>
  <c r="N197" i="3"/>
  <c r="J197" i="3"/>
  <c r="J194" i="3"/>
  <c r="K188" i="3"/>
  <c r="L188" i="3"/>
  <c r="M188" i="3"/>
  <c r="N188" i="3"/>
  <c r="J188" i="3"/>
  <c r="K184" i="3"/>
  <c r="L184" i="3"/>
  <c r="M184" i="3"/>
  <c r="N184" i="3"/>
  <c r="J184" i="3"/>
  <c r="J178" i="3"/>
  <c r="K178" i="3"/>
  <c r="L178" i="3"/>
  <c r="M178" i="3"/>
  <c r="N178" i="3"/>
  <c r="K175" i="3"/>
  <c r="L175" i="3"/>
  <c r="M175" i="3"/>
  <c r="N175" i="3"/>
  <c r="J175" i="3"/>
  <c r="K169" i="3"/>
  <c r="L169" i="3"/>
  <c r="M169" i="3"/>
  <c r="N169" i="3"/>
  <c r="J169" i="3"/>
  <c r="K165" i="3"/>
  <c r="L165" i="3"/>
  <c r="M165" i="3"/>
  <c r="N165" i="3"/>
  <c r="J165" i="3"/>
  <c r="K143" i="3"/>
  <c r="L143" i="3"/>
  <c r="M143" i="3"/>
  <c r="N143" i="3"/>
  <c r="J143" i="3"/>
  <c r="K140" i="3"/>
  <c r="L140" i="3"/>
  <c r="M140" i="3"/>
  <c r="N140" i="3"/>
  <c r="J140" i="3"/>
  <c r="K134" i="3"/>
  <c r="L134" i="3"/>
  <c r="M134" i="3"/>
  <c r="N134" i="3"/>
  <c r="J134" i="3"/>
  <c r="K130" i="3"/>
  <c r="L130" i="3"/>
  <c r="M130" i="3"/>
  <c r="N130" i="3"/>
  <c r="J130" i="3"/>
  <c r="C91" i="3"/>
  <c r="D91" i="3"/>
  <c r="E91" i="3"/>
  <c r="F91" i="3"/>
  <c r="G91" i="3"/>
  <c r="H91" i="3"/>
  <c r="I91" i="3"/>
  <c r="B91" i="3"/>
  <c r="J78" i="3"/>
  <c r="K81" i="3"/>
  <c r="L81" i="3"/>
  <c r="M81" i="3"/>
  <c r="N81" i="3"/>
  <c r="J81" i="3"/>
  <c r="K72" i="3"/>
  <c r="L72" i="3"/>
  <c r="M72" i="3"/>
  <c r="N72" i="3"/>
  <c r="J72" i="3"/>
  <c r="K68" i="3"/>
  <c r="L68" i="3"/>
  <c r="M68" i="3"/>
  <c r="N68" i="3"/>
  <c r="J68" i="3"/>
  <c r="K47" i="3"/>
  <c r="L47" i="3"/>
  <c r="M47" i="3"/>
  <c r="N47" i="3"/>
  <c r="J47" i="3"/>
  <c r="J50" i="3"/>
  <c r="J41" i="3"/>
  <c r="K37" i="3"/>
  <c r="L37" i="3"/>
  <c r="M37" i="3"/>
  <c r="N37" i="3"/>
  <c r="J37" i="3"/>
  <c r="J56" i="3"/>
  <c r="J25" i="3"/>
  <c r="I37" i="3" l="1"/>
  <c r="J200" i="3"/>
  <c r="J199" i="3" s="1"/>
  <c r="I199" i="3"/>
  <c r="K200" i="3"/>
  <c r="L200" i="3"/>
  <c r="M200" i="3"/>
  <c r="N200" i="3"/>
  <c r="J181" i="3"/>
  <c r="J180" i="3" s="1"/>
  <c r="I180" i="3"/>
  <c r="K181" i="3"/>
  <c r="L181" i="3"/>
  <c r="M181" i="3"/>
  <c r="N181" i="3"/>
  <c r="K161" i="3"/>
  <c r="L161" i="3"/>
  <c r="M161" i="3"/>
  <c r="N161" i="3"/>
  <c r="J161" i="3"/>
  <c r="K157" i="3"/>
  <c r="L157" i="3"/>
  <c r="M157" i="3"/>
  <c r="N157" i="3"/>
  <c r="J157" i="3"/>
  <c r="K153" i="3"/>
  <c r="L153" i="3"/>
  <c r="M153" i="3"/>
  <c r="N153" i="3"/>
  <c r="J153" i="3"/>
  <c r="C161" i="3"/>
  <c r="D161" i="3"/>
  <c r="E161" i="3"/>
  <c r="F161" i="3"/>
  <c r="G161" i="3"/>
  <c r="H161" i="3"/>
  <c r="I161" i="3"/>
  <c r="B161" i="3"/>
  <c r="C157" i="3"/>
  <c r="D157" i="3"/>
  <c r="E157" i="3"/>
  <c r="F157" i="3"/>
  <c r="G157" i="3"/>
  <c r="H157" i="3"/>
  <c r="I157" i="3"/>
  <c r="B157" i="3"/>
  <c r="C153" i="3"/>
  <c r="D153" i="3"/>
  <c r="E153" i="3"/>
  <c r="F153" i="3"/>
  <c r="G153" i="3"/>
  <c r="H153" i="3"/>
  <c r="I153" i="3"/>
  <c r="B153" i="3"/>
  <c r="C149" i="3"/>
  <c r="D149" i="3"/>
  <c r="E149" i="3"/>
  <c r="F149" i="3"/>
  <c r="G149" i="3"/>
  <c r="H149" i="3"/>
  <c r="I149" i="3"/>
  <c r="B149" i="3"/>
  <c r="K149" i="3"/>
  <c r="L149" i="3"/>
  <c r="M149" i="3"/>
  <c r="N149" i="3"/>
  <c r="J149" i="3"/>
  <c r="K126" i="3"/>
  <c r="L126" i="3"/>
  <c r="M126" i="3"/>
  <c r="N126" i="3"/>
  <c r="J126" i="3"/>
  <c r="K122" i="3"/>
  <c r="L122" i="3"/>
  <c r="M122" i="3"/>
  <c r="N122" i="3"/>
  <c r="J122" i="3"/>
  <c r="K118" i="3"/>
  <c r="L118" i="3"/>
  <c r="M118" i="3"/>
  <c r="N118" i="3"/>
  <c r="J118" i="3"/>
  <c r="K95" i="3"/>
  <c r="L95" i="3"/>
  <c r="M95" i="3"/>
  <c r="N95" i="3"/>
  <c r="J95" i="3"/>
  <c r="K91" i="3"/>
  <c r="L91" i="3"/>
  <c r="M91" i="3"/>
  <c r="N91" i="3"/>
  <c r="J91" i="3"/>
  <c r="J87" i="3"/>
  <c r="K87" i="3"/>
  <c r="L87" i="3"/>
  <c r="M87" i="3"/>
  <c r="N87" i="3"/>
  <c r="I72" i="3"/>
  <c r="I69" i="3"/>
  <c r="I66" i="3" s="1"/>
  <c r="K64" i="3"/>
  <c r="L64" i="3"/>
  <c r="M64" i="3"/>
  <c r="N64" i="3"/>
  <c r="J64" i="3"/>
  <c r="K60" i="3"/>
  <c r="L60" i="3"/>
  <c r="M60" i="3"/>
  <c r="N60" i="3"/>
  <c r="J60" i="3"/>
  <c r="K56" i="3"/>
  <c r="L56" i="3"/>
  <c r="M56" i="3"/>
  <c r="N56" i="3"/>
  <c r="K33" i="3"/>
  <c r="L33" i="3"/>
  <c r="M33" i="3"/>
  <c r="N33" i="3"/>
  <c r="J33" i="3"/>
  <c r="J29" i="3"/>
  <c r="K29" i="3"/>
  <c r="L29" i="3"/>
  <c r="M29" i="3"/>
  <c r="N29" i="3"/>
  <c r="K25" i="3"/>
  <c r="L25" i="3"/>
  <c r="M25" i="3"/>
  <c r="N25" i="3"/>
  <c r="J24" i="3"/>
  <c r="J23" i="3" s="1"/>
  <c r="C24" i="3"/>
  <c r="B25" i="3"/>
  <c r="C1" i="9"/>
  <c r="D1" i="9" s="1"/>
  <c r="E1" i="9" s="1"/>
  <c r="F1" i="9" s="1"/>
  <c r="K180" i="3" l="1"/>
  <c r="L180" i="3" s="1"/>
  <c r="M180" i="3" s="1"/>
  <c r="N180" i="3" s="1"/>
  <c r="I67" i="3"/>
  <c r="I68" i="3"/>
  <c r="F167" i="4"/>
  <c r="F168" i="4" s="1"/>
  <c r="F165" i="4"/>
  <c r="H165" i="4"/>
  <c r="G165" i="4"/>
  <c r="E165" i="4"/>
  <c r="E167" i="4" s="1"/>
  <c r="D165" i="4"/>
  <c r="C165" i="4"/>
  <c r="B165" i="4"/>
  <c r="L78" i="4"/>
  <c r="F57" i="5"/>
  <c r="F85" i="4"/>
  <c r="G98" i="4"/>
  <c r="G100" i="4"/>
  <c r="B100" i="4"/>
  <c r="B50" i="5"/>
  <c r="C57" i="5"/>
  <c r="D57" i="5"/>
  <c r="E57" i="5"/>
  <c r="G57" i="5"/>
  <c r="H57" i="5"/>
  <c r="I57" i="5"/>
  <c r="B57" i="5"/>
  <c r="C63" i="5"/>
  <c r="D63" i="5"/>
  <c r="E63" i="5"/>
  <c r="F63" i="5"/>
  <c r="G63" i="5"/>
  <c r="H63" i="5"/>
  <c r="I63" i="5"/>
  <c r="B63" i="5"/>
  <c r="C65" i="5"/>
  <c r="D65" i="5"/>
  <c r="E65" i="5"/>
  <c r="F65" i="5"/>
  <c r="G65" i="5"/>
  <c r="H65" i="5"/>
  <c r="I65" i="5"/>
  <c r="B85" i="4"/>
  <c r="G96" i="4"/>
  <c r="F100" i="4"/>
  <c r="D100" i="4"/>
  <c r="C100" i="4"/>
  <c r="C85" i="4"/>
  <c r="D96" i="4"/>
  <c r="E96" i="4"/>
  <c r="F96" i="4"/>
  <c r="H96" i="4"/>
  <c r="I96" i="4"/>
  <c r="C96" i="4"/>
  <c r="B96" i="4"/>
  <c r="B67" i="5"/>
  <c r="B65" i="5"/>
  <c r="B101" i="4"/>
  <c r="C62" i="5"/>
  <c r="D62" i="5"/>
  <c r="E62" i="5"/>
  <c r="F62" i="5"/>
  <c r="G62" i="5"/>
  <c r="H62" i="5"/>
  <c r="I62" i="5"/>
  <c r="B62" i="5"/>
  <c r="B61" i="5"/>
  <c r="B59" i="5"/>
  <c r="B78" i="5"/>
  <c r="B22" i="5"/>
  <c r="B21" i="5"/>
  <c r="B36" i="5"/>
  <c r="C25" i="5"/>
  <c r="D25" i="5"/>
  <c r="E25" i="5"/>
  <c r="F25" i="5"/>
  <c r="G25" i="5"/>
  <c r="H25" i="5"/>
  <c r="I25" i="5"/>
  <c r="B25" i="5"/>
  <c r="B35" i="5"/>
  <c r="C35" i="5"/>
  <c r="D35" i="5"/>
  <c r="E35" i="5"/>
  <c r="F35" i="5"/>
  <c r="G35" i="5"/>
  <c r="H35" i="5"/>
  <c r="I35" i="5"/>
  <c r="C36" i="5"/>
  <c r="D36" i="5"/>
  <c r="E36" i="5"/>
  <c r="F36" i="5"/>
  <c r="G36" i="5"/>
  <c r="H36" i="5"/>
  <c r="I36" i="5"/>
  <c r="C42" i="5"/>
  <c r="D42" i="5"/>
  <c r="E42" i="5"/>
  <c r="F42" i="5"/>
  <c r="G42" i="5"/>
  <c r="H42" i="5"/>
  <c r="I42" i="5"/>
  <c r="B42" i="5"/>
  <c r="C23" i="5"/>
  <c r="C51" i="5" s="1"/>
  <c r="D23" i="5"/>
  <c r="E23" i="5"/>
  <c r="E51" i="5" s="1"/>
  <c r="F23" i="5"/>
  <c r="F51" i="5" s="1"/>
  <c r="G23" i="5"/>
  <c r="G51" i="5" s="1"/>
  <c r="H23" i="5"/>
  <c r="H51" i="5" s="1"/>
  <c r="I23" i="5"/>
  <c r="C59" i="5"/>
  <c r="D59" i="5"/>
  <c r="E59" i="5"/>
  <c r="F59" i="5"/>
  <c r="G59" i="5"/>
  <c r="H59" i="5"/>
  <c r="I59" i="5"/>
  <c r="C61" i="5"/>
  <c r="D61" i="5"/>
  <c r="E61" i="5"/>
  <c r="F61" i="5"/>
  <c r="G61" i="5"/>
  <c r="H61" i="5"/>
  <c r="I61" i="5"/>
  <c r="C48" i="5"/>
  <c r="D48" i="5"/>
  <c r="E48" i="5"/>
  <c r="F48" i="5"/>
  <c r="G48" i="5"/>
  <c r="H48" i="5"/>
  <c r="I48" i="5"/>
  <c r="B48" i="5"/>
  <c r="C50" i="5"/>
  <c r="D50" i="5"/>
  <c r="E50" i="5"/>
  <c r="F50" i="5"/>
  <c r="G50" i="5"/>
  <c r="H50" i="5"/>
  <c r="I50" i="5"/>
  <c r="D58" i="4"/>
  <c r="C41" i="5"/>
  <c r="D41" i="5"/>
  <c r="E41" i="5"/>
  <c r="F41" i="5"/>
  <c r="G41" i="5"/>
  <c r="H41" i="5"/>
  <c r="I41" i="5"/>
  <c r="B41" i="5"/>
  <c r="C40" i="5"/>
  <c r="D40" i="5"/>
  <c r="E40" i="5"/>
  <c r="F40" i="5"/>
  <c r="G40" i="5"/>
  <c r="H40" i="5"/>
  <c r="I40" i="5"/>
  <c r="B40" i="5"/>
  <c r="C38" i="5"/>
  <c r="D38" i="5"/>
  <c r="E38" i="5"/>
  <c r="F38" i="5"/>
  <c r="G38" i="5"/>
  <c r="H38" i="5"/>
  <c r="I38" i="5"/>
  <c r="B38" i="5"/>
  <c r="C37" i="5"/>
  <c r="D37" i="5"/>
  <c r="E37" i="5"/>
  <c r="F37" i="5"/>
  <c r="G37" i="5"/>
  <c r="H37" i="5"/>
  <c r="I37" i="5"/>
  <c r="B37" i="5"/>
  <c r="C34" i="5"/>
  <c r="D34" i="5"/>
  <c r="E34" i="5"/>
  <c r="F34" i="5"/>
  <c r="G34" i="5"/>
  <c r="H34" i="5"/>
  <c r="I34" i="5"/>
  <c r="B34" i="5"/>
  <c r="C33" i="5"/>
  <c r="D33" i="5"/>
  <c r="E33" i="5"/>
  <c r="F33" i="5"/>
  <c r="G33" i="5"/>
  <c r="H33" i="5"/>
  <c r="I33" i="5"/>
  <c r="B33" i="5"/>
  <c r="C30" i="5"/>
  <c r="D30" i="5"/>
  <c r="E30" i="5"/>
  <c r="F30" i="5"/>
  <c r="G30" i="5"/>
  <c r="H30" i="5"/>
  <c r="I30" i="5"/>
  <c r="B30" i="5"/>
  <c r="C22" i="5"/>
  <c r="D22" i="5"/>
  <c r="E22" i="5"/>
  <c r="F22" i="5"/>
  <c r="G22" i="5"/>
  <c r="H22" i="5"/>
  <c r="I22" i="5"/>
  <c r="C29" i="5"/>
  <c r="D29" i="5"/>
  <c r="E29" i="5"/>
  <c r="F29" i="5"/>
  <c r="G29" i="5"/>
  <c r="H29" i="5"/>
  <c r="I29" i="5"/>
  <c r="B29" i="5"/>
  <c r="C28" i="5"/>
  <c r="D28" i="5"/>
  <c r="E28" i="5"/>
  <c r="F28" i="5"/>
  <c r="G28" i="5"/>
  <c r="H28" i="5"/>
  <c r="I28" i="5"/>
  <c r="B28" i="5"/>
  <c r="C27" i="5"/>
  <c r="D27" i="5"/>
  <c r="E27" i="5"/>
  <c r="F27" i="5"/>
  <c r="G27" i="5"/>
  <c r="H27" i="5"/>
  <c r="I27" i="5"/>
  <c r="B27" i="5"/>
  <c r="C26" i="5"/>
  <c r="D26" i="5"/>
  <c r="E26" i="5"/>
  <c r="F26" i="5"/>
  <c r="G26" i="5"/>
  <c r="H26" i="5"/>
  <c r="I26" i="5"/>
  <c r="B26" i="5"/>
  <c r="C21" i="5"/>
  <c r="D21" i="5"/>
  <c r="E21" i="5"/>
  <c r="F21" i="5"/>
  <c r="G21" i="5"/>
  <c r="H21" i="5"/>
  <c r="I21" i="5"/>
  <c r="C15" i="5"/>
  <c r="D15" i="5"/>
  <c r="E15" i="5"/>
  <c r="F15" i="5"/>
  <c r="H15" i="5"/>
  <c r="I15" i="5"/>
  <c r="B15" i="5"/>
  <c r="C12" i="5"/>
  <c r="D12" i="5"/>
  <c r="E12" i="5"/>
  <c r="F12" i="5"/>
  <c r="G12" i="5"/>
  <c r="B12" i="5"/>
  <c r="C10" i="5"/>
  <c r="D10" i="5"/>
  <c r="E10" i="5"/>
  <c r="F10" i="5"/>
  <c r="G10" i="5"/>
  <c r="H10" i="5"/>
  <c r="I10" i="5"/>
  <c r="B10" i="5"/>
  <c r="J1" i="5"/>
  <c r="K1" i="5" s="1"/>
  <c r="L1" i="5" s="1"/>
  <c r="M1" i="5" s="1"/>
  <c r="N1" i="5" s="1"/>
  <c r="H1" i="5"/>
  <c r="G1" i="5" s="1"/>
  <c r="F1" i="5" s="1"/>
  <c r="E1" i="5" s="1"/>
  <c r="D1" i="5" s="1"/>
  <c r="C1" i="5" s="1"/>
  <c r="B1" i="5" s="1"/>
  <c r="I51" i="5" l="1"/>
  <c r="D51" i="5"/>
  <c r="B51" i="5"/>
  <c r="B17" i="5"/>
  <c r="B18" i="5" s="1"/>
  <c r="E31" i="5"/>
  <c r="I64" i="5"/>
  <c r="G31" i="5"/>
  <c r="G70" i="5"/>
  <c r="C31" i="5"/>
  <c r="F31" i="5"/>
  <c r="B43" i="5"/>
  <c r="F70" i="5"/>
  <c r="I70" i="5"/>
  <c r="E70" i="5"/>
  <c r="E43" i="5"/>
  <c r="D31" i="5"/>
  <c r="D44" i="5" s="1"/>
  <c r="H43" i="5"/>
  <c r="D70" i="5"/>
  <c r="D43" i="5"/>
  <c r="H17" i="5"/>
  <c r="F17" i="5"/>
  <c r="C17" i="5"/>
  <c r="B70" i="5"/>
  <c r="H70" i="5"/>
  <c r="H64" i="5"/>
  <c r="E17" i="5"/>
  <c r="D17" i="5"/>
  <c r="I31" i="5"/>
  <c r="C70" i="5"/>
  <c r="G17" i="5"/>
  <c r="E64" i="5"/>
  <c r="H31" i="5"/>
  <c r="D64" i="5"/>
  <c r="C43" i="5"/>
  <c r="G64" i="5"/>
  <c r="C64" i="5"/>
  <c r="F64" i="5"/>
  <c r="B64" i="5"/>
  <c r="B31" i="5"/>
  <c r="F43" i="5"/>
  <c r="G43" i="5"/>
  <c r="G44" i="5" s="1"/>
  <c r="E60" i="5"/>
  <c r="I43" i="5"/>
  <c r="H60" i="5"/>
  <c r="G60" i="5"/>
  <c r="C60" i="5"/>
  <c r="I60" i="5"/>
  <c r="D60" i="5"/>
  <c r="B60" i="5"/>
  <c r="F60" i="5"/>
  <c r="C214" i="3"/>
  <c r="D214" i="3"/>
  <c r="E214" i="3"/>
  <c r="F214" i="3"/>
  <c r="G214" i="3"/>
  <c r="H214" i="3"/>
  <c r="I214" i="3"/>
  <c r="B214" i="3"/>
  <c r="C208" i="3"/>
  <c r="D208" i="3"/>
  <c r="E208" i="3"/>
  <c r="F208" i="3"/>
  <c r="G208" i="3"/>
  <c r="H208" i="3"/>
  <c r="I208" i="3"/>
  <c r="B208" i="3"/>
  <c r="C204" i="3"/>
  <c r="C207" i="3" s="1"/>
  <c r="D204" i="3"/>
  <c r="E204" i="3"/>
  <c r="F204" i="3"/>
  <c r="G204" i="3"/>
  <c r="H204" i="3"/>
  <c r="I204" i="3"/>
  <c r="B204" i="3"/>
  <c r="C199" i="3"/>
  <c r="D199" i="3"/>
  <c r="E199" i="3"/>
  <c r="F199" i="3"/>
  <c r="G199" i="3"/>
  <c r="H199" i="3"/>
  <c r="B199" i="3"/>
  <c r="A198" i="3"/>
  <c r="H207" i="3"/>
  <c r="I185" i="3"/>
  <c r="C195" i="3"/>
  <c r="C197" i="3" s="1"/>
  <c r="D195" i="3"/>
  <c r="E195" i="3"/>
  <c r="F195" i="3"/>
  <c r="G195" i="3"/>
  <c r="G197" i="3" s="1"/>
  <c r="H195" i="3"/>
  <c r="I195" i="3"/>
  <c r="B195" i="3"/>
  <c r="C192" i="3"/>
  <c r="C194" i="3" s="1"/>
  <c r="D192" i="3"/>
  <c r="E192" i="3"/>
  <c r="F192" i="3"/>
  <c r="G192" i="3"/>
  <c r="G194" i="3" s="1"/>
  <c r="H192" i="3"/>
  <c r="I192" i="3"/>
  <c r="B192" i="3"/>
  <c r="B193" i="3" s="1"/>
  <c r="C189" i="3"/>
  <c r="D189" i="3"/>
  <c r="E189" i="3"/>
  <c r="F189" i="3"/>
  <c r="G189" i="3"/>
  <c r="H189" i="3"/>
  <c r="I189" i="3"/>
  <c r="B189" i="3"/>
  <c r="C185" i="3"/>
  <c r="C187" i="3" s="1"/>
  <c r="D185" i="3"/>
  <c r="E185" i="3"/>
  <c r="F185" i="3"/>
  <c r="G185" i="3"/>
  <c r="G187" i="3" s="1"/>
  <c r="H185" i="3"/>
  <c r="B185" i="3"/>
  <c r="C180" i="3"/>
  <c r="D180" i="3"/>
  <c r="D181" i="3" s="1"/>
  <c r="E180" i="3"/>
  <c r="F180" i="3"/>
  <c r="G180" i="3"/>
  <c r="G181" i="3" s="1"/>
  <c r="H180" i="3"/>
  <c r="H181" i="3" s="1"/>
  <c r="B180" i="3"/>
  <c r="A179" i="3"/>
  <c r="I170" i="3"/>
  <c r="C176" i="3"/>
  <c r="D176" i="3"/>
  <c r="E176" i="3"/>
  <c r="F176" i="3"/>
  <c r="G176" i="3"/>
  <c r="H176" i="3"/>
  <c r="I176" i="3"/>
  <c r="B176" i="3"/>
  <c r="C173" i="3"/>
  <c r="D173" i="3"/>
  <c r="E173" i="3"/>
  <c r="F173" i="3"/>
  <c r="G173" i="3"/>
  <c r="H173" i="3"/>
  <c r="I173" i="3"/>
  <c r="B173" i="3"/>
  <c r="B174" i="3" s="1"/>
  <c r="C166" i="3"/>
  <c r="D166" i="3"/>
  <c r="E166" i="3"/>
  <c r="F166" i="3"/>
  <c r="G166" i="3"/>
  <c r="H166" i="3"/>
  <c r="I166" i="3"/>
  <c r="B166" i="3"/>
  <c r="C170" i="3"/>
  <c r="D170" i="3"/>
  <c r="D163" i="3" s="1"/>
  <c r="E170" i="3"/>
  <c r="F170" i="3"/>
  <c r="G170" i="3"/>
  <c r="H170" i="3"/>
  <c r="B170" i="3"/>
  <c r="E129" i="4"/>
  <c r="C145" i="3"/>
  <c r="D145" i="3"/>
  <c r="B145" i="3"/>
  <c r="C159" i="3"/>
  <c r="D159" i="3"/>
  <c r="E159" i="3"/>
  <c r="F159" i="3"/>
  <c r="G159" i="3"/>
  <c r="H159" i="3"/>
  <c r="I159" i="3"/>
  <c r="B159" i="3"/>
  <c r="C155" i="3"/>
  <c r="D155" i="3"/>
  <c r="E155" i="3"/>
  <c r="F155" i="3"/>
  <c r="G155" i="3"/>
  <c r="H155" i="3"/>
  <c r="I155" i="3"/>
  <c r="B155" i="3"/>
  <c r="B156" i="3" s="1"/>
  <c r="C151" i="3"/>
  <c r="D151" i="3"/>
  <c r="E151" i="3"/>
  <c r="F151" i="3"/>
  <c r="G151" i="3"/>
  <c r="H151" i="3"/>
  <c r="I151" i="3"/>
  <c r="B151" i="3"/>
  <c r="C147" i="3"/>
  <c r="D147" i="3"/>
  <c r="E147" i="3"/>
  <c r="E145" i="3" s="1"/>
  <c r="F147" i="3"/>
  <c r="F145" i="3" s="1"/>
  <c r="G147" i="3"/>
  <c r="G145" i="3" s="1"/>
  <c r="H147" i="3"/>
  <c r="H145" i="3" s="1"/>
  <c r="I147" i="3"/>
  <c r="I145" i="3" s="1"/>
  <c r="B147" i="3"/>
  <c r="B148" i="3" s="1"/>
  <c r="K162" i="3"/>
  <c r="L162" i="3" s="1"/>
  <c r="M162" i="3" s="1"/>
  <c r="N162" i="3" s="1"/>
  <c r="J160" i="3"/>
  <c r="A144" i="3"/>
  <c r="K158" i="3"/>
  <c r="L158" i="3" s="1"/>
  <c r="M158" i="3" s="1"/>
  <c r="N158" i="3" s="1"/>
  <c r="J156" i="3"/>
  <c r="K154" i="3"/>
  <c r="L154" i="3" s="1"/>
  <c r="M154" i="3" s="1"/>
  <c r="N154" i="3" s="1"/>
  <c r="J152" i="3"/>
  <c r="J151" i="3" s="1"/>
  <c r="K150" i="3"/>
  <c r="L150" i="3" s="1"/>
  <c r="M150" i="3" s="1"/>
  <c r="N150" i="3" s="1"/>
  <c r="J148" i="3"/>
  <c r="C141" i="3"/>
  <c r="D141" i="3"/>
  <c r="E141" i="3"/>
  <c r="F141" i="3"/>
  <c r="G141" i="3"/>
  <c r="H141" i="3"/>
  <c r="I141" i="3"/>
  <c r="B141" i="3"/>
  <c r="C138" i="3"/>
  <c r="D138" i="3"/>
  <c r="E138" i="3"/>
  <c r="F138" i="3"/>
  <c r="G138" i="3"/>
  <c r="H138" i="3"/>
  <c r="I138" i="3"/>
  <c r="B138" i="3"/>
  <c r="C135" i="3"/>
  <c r="D135" i="3"/>
  <c r="E135" i="3"/>
  <c r="F135" i="3"/>
  <c r="G135" i="3"/>
  <c r="H135" i="3"/>
  <c r="I135" i="3"/>
  <c r="B135" i="3"/>
  <c r="B136" i="3" s="1"/>
  <c r="C131" i="3"/>
  <c r="D131" i="3"/>
  <c r="E131" i="3"/>
  <c r="F131" i="3"/>
  <c r="F128" i="3" s="1"/>
  <c r="G131" i="3"/>
  <c r="H131" i="3"/>
  <c r="I131" i="3"/>
  <c r="B131" i="3"/>
  <c r="B132" i="3" s="1"/>
  <c r="C126" i="3"/>
  <c r="D126" i="3"/>
  <c r="E126" i="3"/>
  <c r="F126" i="3"/>
  <c r="G126" i="3"/>
  <c r="H126" i="3"/>
  <c r="I126" i="3"/>
  <c r="B126" i="3"/>
  <c r="C122" i="3"/>
  <c r="D122" i="3"/>
  <c r="E122" i="3"/>
  <c r="F122" i="3"/>
  <c r="G122" i="3"/>
  <c r="H122" i="3"/>
  <c r="I122" i="3"/>
  <c r="B122" i="3"/>
  <c r="C118" i="3"/>
  <c r="D118" i="3"/>
  <c r="E118" i="3"/>
  <c r="F118" i="3"/>
  <c r="G118" i="3"/>
  <c r="H118" i="3"/>
  <c r="I118" i="3"/>
  <c r="B118" i="3"/>
  <c r="C124" i="3"/>
  <c r="D124" i="3"/>
  <c r="E124" i="3"/>
  <c r="F124" i="3"/>
  <c r="G124" i="3"/>
  <c r="H124" i="3"/>
  <c r="I124" i="3"/>
  <c r="B124" i="3"/>
  <c r="C120" i="3"/>
  <c r="D120" i="3"/>
  <c r="E120" i="3"/>
  <c r="F120" i="3"/>
  <c r="G120" i="3"/>
  <c r="H120" i="3"/>
  <c r="I120" i="3"/>
  <c r="B120" i="3"/>
  <c r="B121" i="3" s="1"/>
  <c r="B123" i="3" s="1"/>
  <c r="C116" i="3"/>
  <c r="D116" i="3"/>
  <c r="E116" i="3"/>
  <c r="F116" i="3"/>
  <c r="G116" i="3"/>
  <c r="G114" i="3" s="1"/>
  <c r="H116" i="3"/>
  <c r="I116" i="3"/>
  <c r="B116" i="3"/>
  <c r="B117" i="3" s="1"/>
  <c r="A113" i="3"/>
  <c r="H134" i="3"/>
  <c r="I128" i="3"/>
  <c r="K127" i="3"/>
  <c r="L127" i="3" s="1"/>
  <c r="M127" i="3" s="1"/>
  <c r="N127" i="3" s="1"/>
  <c r="J125" i="3"/>
  <c r="K123" i="3"/>
  <c r="L123" i="3" s="1"/>
  <c r="M123" i="3" s="1"/>
  <c r="N123" i="3" s="1"/>
  <c r="J121" i="3"/>
  <c r="K119" i="3"/>
  <c r="L119" i="3" s="1"/>
  <c r="J117" i="3"/>
  <c r="C110" i="3"/>
  <c r="D110" i="3"/>
  <c r="E110" i="3"/>
  <c r="F110" i="3"/>
  <c r="G110" i="3"/>
  <c r="H110" i="3"/>
  <c r="I110" i="3"/>
  <c r="B110" i="3"/>
  <c r="C107" i="3"/>
  <c r="D107" i="3"/>
  <c r="E107" i="3"/>
  <c r="F107" i="3"/>
  <c r="G107" i="3"/>
  <c r="H107" i="3"/>
  <c r="I107" i="3"/>
  <c r="B107" i="3"/>
  <c r="C104" i="3"/>
  <c r="D104" i="3"/>
  <c r="E104" i="3"/>
  <c r="F104" i="3"/>
  <c r="G104" i="3"/>
  <c r="H104" i="3"/>
  <c r="I104" i="3"/>
  <c r="B104" i="3"/>
  <c r="B105" i="3" s="1"/>
  <c r="C100" i="3"/>
  <c r="D100" i="3"/>
  <c r="E100" i="3"/>
  <c r="F100" i="3"/>
  <c r="G100" i="3"/>
  <c r="H100" i="3"/>
  <c r="H103" i="3" s="1"/>
  <c r="I100" i="3"/>
  <c r="B100" i="3"/>
  <c r="B97" i="3" s="1"/>
  <c r="C97" i="3"/>
  <c r="D97" i="3"/>
  <c r="C95" i="3"/>
  <c r="D95" i="3"/>
  <c r="E95" i="3"/>
  <c r="F95" i="3"/>
  <c r="G95" i="3"/>
  <c r="H95" i="3"/>
  <c r="I95" i="3"/>
  <c r="B95" i="3"/>
  <c r="C87" i="3"/>
  <c r="D87" i="3"/>
  <c r="E87" i="3"/>
  <c r="F87" i="3"/>
  <c r="G87" i="3"/>
  <c r="H87" i="3"/>
  <c r="I87" i="3"/>
  <c r="B87" i="3"/>
  <c r="C93" i="3"/>
  <c r="D93" i="3"/>
  <c r="E93" i="3"/>
  <c r="F93" i="3"/>
  <c r="G93" i="3"/>
  <c r="H93" i="3"/>
  <c r="I93" i="3"/>
  <c r="B93" i="3"/>
  <c r="C89" i="3"/>
  <c r="D89" i="3"/>
  <c r="E89" i="3"/>
  <c r="F89" i="3"/>
  <c r="G89" i="3"/>
  <c r="H89" i="3"/>
  <c r="I89" i="3"/>
  <c r="B89" i="3"/>
  <c r="C85" i="3"/>
  <c r="C83" i="3" s="1"/>
  <c r="D85" i="3"/>
  <c r="E85" i="3"/>
  <c r="E83" i="3" s="1"/>
  <c r="F85" i="3"/>
  <c r="G85" i="3"/>
  <c r="G83" i="3" s="1"/>
  <c r="H85" i="3"/>
  <c r="I85" i="3"/>
  <c r="I83" i="3" s="1"/>
  <c r="B85" i="3"/>
  <c r="B86" i="3" s="1"/>
  <c r="B88" i="3" s="1"/>
  <c r="K96" i="3"/>
  <c r="L96" i="3" s="1"/>
  <c r="M96" i="3" s="1"/>
  <c r="N96" i="3" s="1"/>
  <c r="J94" i="3"/>
  <c r="K92" i="3"/>
  <c r="L92" i="3" s="1"/>
  <c r="M92" i="3" s="1"/>
  <c r="N92" i="3" s="1"/>
  <c r="J90" i="3"/>
  <c r="K88" i="3"/>
  <c r="L88" i="3" s="1"/>
  <c r="M88" i="3" s="1"/>
  <c r="N88" i="3" s="1"/>
  <c r="J86" i="3"/>
  <c r="A82" i="3"/>
  <c r="E69" i="3"/>
  <c r="F69" i="3"/>
  <c r="G69" i="3"/>
  <c r="H69" i="3"/>
  <c r="D73" i="3"/>
  <c r="E73" i="3"/>
  <c r="F73" i="3"/>
  <c r="G73" i="3"/>
  <c r="H73" i="3"/>
  <c r="I73" i="3"/>
  <c r="E79" i="3"/>
  <c r="F79" i="3"/>
  <c r="G79" i="3"/>
  <c r="H79" i="3"/>
  <c r="I79" i="3"/>
  <c r="E76" i="3"/>
  <c r="F76" i="3"/>
  <c r="G76" i="3"/>
  <c r="H76" i="3"/>
  <c r="I76" i="3"/>
  <c r="C62" i="3"/>
  <c r="D62" i="3"/>
  <c r="E62" i="3"/>
  <c r="E63" i="3" s="1"/>
  <c r="F62" i="3"/>
  <c r="G62" i="3"/>
  <c r="H62" i="3"/>
  <c r="I62" i="3"/>
  <c r="B62" i="3"/>
  <c r="C58" i="3"/>
  <c r="D58" i="3"/>
  <c r="E58" i="3"/>
  <c r="E59" i="3" s="1"/>
  <c r="F58" i="3"/>
  <c r="G58" i="3"/>
  <c r="H58" i="3"/>
  <c r="I58" i="3"/>
  <c r="B58" i="3"/>
  <c r="C64" i="3"/>
  <c r="D64" i="3"/>
  <c r="E64" i="3"/>
  <c r="F64" i="3"/>
  <c r="G64" i="3"/>
  <c r="H64" i="3"/>
  <c r="I64" i="3"/>
  <c r="B64" i="3"/>
  <c r="C60" i="3"/>
  <c r="D60" i="3"/>
  <c r="E60" i="3"/>
  <c r="F60" i="3"/>
  <c r="G60" i="3"/>
  <c r="H60" i="3"/>
  <c r="I60" i="3"/>
  <c r="B60" i="3"/>
  <c r="C56" i="3"/>
  <c r="D56" i="3"/>
  <c r="E56" i="3"/>
  <c r="F56" i="3"/>
  <c r="G56" i="3"/>
  <c r="H56" i="3"/>
  <c r="I56" i="3"/>
  <c r="B56" i="3"/>
  <c r="C54" i="3"/>
  <c r="C52" i="3" s="1"/>
  <c r="D54" i="3"/>
  <c r="D52" i="3" s="1"/>
  <c r="E54" i="3"/>
  <c r="E52" i="3" s="1"/>
  <c r="E53" i="3" s="1"/>
  <c r="F54" i="3"/>
  <c r="G54" i="3"/>
  <c r="G52" i="3" s="1"/>
  <c r="H54" i="3"/>
  <c r="H52" i="3" s="1"/>
  <c r="I54" i="3"/>
  <c r="B54" i="3"/>
  <c r="K65" i="3"/>
  <c r="L65" i="3" s="1"/>
  <c r="M65" i="3" s="1"/>
  <c r="N65" i="3" s="1"/>
  <c r="J63" i="3"/>
  <c r="K61" i="3"/>
  <c r="L61" i="3" s="1"/>
  <c r="M61" i="3" s="1"/>
  <c r="N61" i="3" s="1"/>
  <c r="J59" i="3"/>
  <c r="K57" i="3"/>
  <c r="L57" i="3" s="1"/>
  <c r="M57" i="3" s="1"/>
  <c r="N57" i="3" s="1"/>
  <c r="J55" i="3"/>
  <c r="A51" i="3"/>
  <c r="C48" i="3"/>
  <c r="D48" i="3"/>
  <c r="E48" i="3"/>
  <c r="F48" i="3"/>
  <c r="G48" i="3"/>
  <c r="H48" i="3"/>
  <c r="I48" i="3"/>
  <c r="B48" i="3"/>
  <c r="C45" i="3"/>
  <c r="D45" i="3"/>
  <c r="E45" i="3"/>
  <c r="F45" i="3"/>
  <c r="G45" i="3"/>
  <c r="H45" i="3"/>
  <c r="I45" i="3"/>
  <c r="B45" i="3"/>
  <c r="C42" i="3"/>
  <c r="D42" i="3"/>
  <c r="E42" i="3"/>
  <c r="F42" i="3"/>
  <c r="G42" i="3"/>
  <c r="H42" i="3"/>
  <c r="I42" i="3"/>
  <c r="B42" i="3"/>
  <c r="C38" i="3"/>
  <c r="D38" i="3"/>
  <c r="E38" i="3"/>
  <c r="F38" i="3"/>
  <c r="G38" i="3"/>
  <c r="H38" i="3"/>
  <c r="I38" i="3"/>
  <c r="I41" i="3" s="1"/>
  <c r="B38" i="3"/>
  <c r="C33" i="3"/>
  <c r="D33" i="3"/>
  <c r="E33" i="3"/>
  <c r="F33" i="3"/>
  <c r="G33" i="3"/>
  <c r="H33" i="3"/>
  <c r="I33" i="3"/>
  <c r="B33" i="3"/>
  <c r="C31" i="3"/>
  <c r="D31" i="3"/>
  <c r="E31" i="3"/>
  <c r="F31" i="3"/>
  <c r="G31" i="3"/>
  <c r="H31" i="3"/>
  <c r="I31" i="3"/>
  <c r="B31" i="3"/>
  <c r="C29" i="3"/>
  <c r="D29" i="3"/>
  <c r="E29" i="3"/>
  <c r="F29" i="3"/>
  <c r="G29" i="3"/>
  <c r="H29" i="3"/>
  <c r="I29" i="3"/>
  <c r="B29" i="3"/>
  <c r="C27" i="3"/>
  <c r="D27" i="3"/>
  <c r="E27" i="3"/>
  <c r="F27" i="3"/>
  <c r="G27" i="3"/>
  <c r="H27" i="3"/>
  <c r="I27" i="3"/>
  <c r="B27" i="3"/>
  <c r="C25" i="3"/>
  <c r="D25" i="3"/>
  <c r="E25" i="3"/>
  <c r="F25" i="3"/>
  <c r="G25" i="3"/>
  <c r="H25" i="3"/>
  <c r="I25" i="3"/>
  <c r="A20" i="3"/>
  <c r="C23" i="3"/>
  <c r="D23" i="3"/>
  <c r="E23" i="3"/>
  <c r="F23" i="3"/>
  <c r="G23" i="3"/>
  <c r="H23" i="3"/>
  <c r="I23" i="3"/>
  <c r="B23" i="3"/>
  <c r="H1" i="4"/>
  <c r="G1" i="4" s="1"/>
  <c r="F1" i="4" s="1"/>
  <c r="E1" i="4" s="1"/>
  <c r="D1" i="4" s="1"/>
  <c r="C1" i="4" s="1"/>
  <c r="B1" i="4" s="1"/>
  <c r="B4" i="4"/>
  <c r="D4" i="4"/>
  <c r="E4" i="4"/>
  <c r="E10" i="4" s="1"/>
  <c r="G4" i="4"/>
  <c r="H4" i="4"/>
  <c r="I4" i="4"/>
  <c r="B7" i="4"/>
  <c r="C7" i="4"/>
  <c r="C10" i="4" s="1"/>
  <c r="C12" i="4" s="1"/>
  <c r="C20" i="4" s="1"/>
  <c r="D7" i="4"/>
  <c r="E7" i="4"/>
  <c r="F7" i="4"/>
  <c r="F10" i="4" s="1"/>
  <c r="G7" i="4"/>
  <c r="H7" i="4"/>
  <c r="I7" i="4"/>
  <c r="D12" i="4"/>
  <c r="D20" i="4" s="1"/>
  <c r="B30" i="4"/>
  <c r="C30" i="4"/>
  <c r="D30" i="4"/>
  <c r="E30" i="4"/>
  <c r="F30" i="4"/>
  <c r="G30" i="4"/>
  <c r="H30" i="4"/>
  <c r="I30" i="4"/>
  <c r="B36" i="4"/>
  <c r="C36" i="4"/>
  <c r="D36" i="4"/>
  <c r="E36" i="4"/>
  <c r="F36" i="4"/>
  <c r="G36" i="4"/>
  <c r="H36" i="4"/>
  <c r="I36" i="4"/>
  <c r="B45" i="4"/>
  <c r="C45" i="4"/>
  <c r="D45" i="4"/>
  <c r="D59" i="4" s="1"/>
  <c r="D60" i="4" s="1"/>
  <c r="E45" i="4"/>
  <c r="F45" i="4"/>
  <c r="G45" i="4"/>
  <c r="H45" i="4"/>
  <c r="H59" i="4" s="1"/>
  <c r="H60" i="4" s="1"/>
  <c r="I45" i="4"/>
  <c r="B58" i="4"/>
  <c r="C58" i="4"/>
  <c r="E58" i="4"/>
  <c r="F58" i="4"/>
  <c r="G58" i="4"/>
  <c r="G59" i="4" s="1"/>
  <c r="G60" i="4" s="1"/>
  <c r="H58" i="4"/>
  <c r="I58" i="4"/>
  <c r="C59" i="4"/>
  <c r="C60" i="4" s="1"/>
  <c r="B76" i="4"/>
  <c r="C76" i="4"/>
  <c r="D76" i="4"/>
  <c r="E76" i="4"/>
  <c r="F76" i="4"/>
  <c r="G76" i="4"/>
  <c r="D85" i="4"/>
  <c r="E85" i="4"/>
  <c r="G85" i="4"/>
  <c r="H85" i="4"/>
  <c r="I85" i="4"/>
  <c r="C101" i="4"/>
  <c r="D101" i="4"/>
  <c r="F101" i="4"/>
  <c r="B111" i="4"/>
  <c r="C111" i="4"/>
  <c r="D111" i="4"/>
  <c r="E111" i="4"/>
  <c r="F111" i="4"/>
  <c r="G111" i="4"/>
  <c r="H111" i="4"/>
  <c r="I111" i="4"/>
  <c r="B115" i="4"/>
  <c r="C115" i="4"/>
  <c r="D115" i="4"/>
  <c r="E115" i="4"/>
  <c r="F115" i="4"/>
  <c r="G115" i="4"/>
  <c r="H115" i="4"/>
  <c r="I115" i="4"/>
  <c r="B119" i="4"/>
  <c r="C119" i="4"/>
  <c r="D119" i="4"/>
  <c r="E119" i="4"/>
  <c r="F119" i="4"/>
  <c r="G119" i="4"/>
  <c r="H119" i="4"/>
  <c r="I119" i="4"/>
  <c r="B123" i="4"/>
  <c r="C123" i="4"/>
  <c r="D123" i="4"/>
  <c r="E123" i="4"/>
  <c r="F123" i="4"/>
  <c r="G123" i="4"/>
  <c r="H123" i="4"/>
  <c r="I123" i="4"/>
  <c r="B128" i="4"/>
  <c r="B135" i="4" s="1"/>
  <c r="B136" i="4" s="1"/>
  <c r="C128" i="4"/>
  <c r="C135" i="4" s="1"/>
  <c r="C136" i="4" s="1"/>
  <c r="D128" i="4"/>
  <c r="D135" i="4" s="1"/>
  <c r="D136" i="4" s="1"/>
  <c r="E128" i="4"/>
  <c r="F128" i="4"/>
  <c r="G128" i="4"/>
  <c r="G135" i="4" s="1"/>
  <c r="G136" i="4" s="1"/>
  <c r="H128" i="4"/>
  <c r="I128" i="4"/>
  <c r="F129" i="4"/>
  <c r="G129" i="4"/>
  <c r="H129" i="4"/>
  <c r="I129" i="4"/>
  <c r="B139" i="4"/>
  <c r="C139" i="4"/>
  <c r="D143" i="4"/>
  <c r="D146" i="4" s="1"/>
  <c r="D147" i="4" s="1"/>
  <c r="E143" i="4"/>
  <c r="E146" i="4" s="1"/>
  <c r="F143" i="4"/>
  <c r="G143" i="4"/>
  <c r="H143" i="4"/>
  <c r="I143" i="4"/>
  <c r="I146" i="4" s="1"/>
  <c r="F146" i="4"/>
  <c r="G146" i="4"/>
  <c r="H146" i="4"/>
  <c r="B150" i="4"/>
  <c r="C150" i="4"/>
  <c r="D150" i="4"/>
  <c r="D79" i="3" s="1"/>
  <c r="D154" i="4"/>
  <c r="D157" i="4" s="1"/>
  <c r="D158" i="4" s="1"/>
  <c r="E154" i="4"/>
  <c r="E157" i="4" s="1"/>
  <c r="E158" i="4" s="1"/>
  <c r="F154" i="4"/>
  <c r="F157" i="4" s="1"/>
  <c r="G154" i="4"/>
  <c r="G157" i="4" s="1"/>
  <c r="G158" i="4" s="1"/>
  <c r="H154" i="4"/>
  <c r="H157" i="4" s="1"/>
  <c r="H158" i="4" s="1"/>
  <c r="I154" i="4"/>
  <c r="I157" i="4" s="1"/>
  <c r="I158" i="4" s="1"/>
  <c r="F158" i="4"/>
  <c r="B161" i="4"/>
  <c r="C161" i="4"/>
  <c r="D161" i="4"/>
  <c r="E211" i="3"/>
  <c r="E213" i="3" s="1"/>
  <c r="I165" i="4"/>
  <c r="F211" i="3"/>
  <c r="G167" i="4"/>
  <c r="H167" i="4"/>
  <c r="H211" i="3" s="1"/>
  <c r="H213" i="3" s="1"/>
  <c r="I167" i="4"/>
  <c r="I211" i="3" s="1"/>
  <c r="I213" i="3" s="1"/>
  <c r="J213" i="3" s="1"/>
  <c r="K213" i="3" s="1"/>
  <c r="L213" i="3" s="1"/>
  <c r="M213" i="3" s="1"/>
  <c r="N213" i="3" s="1"/>
  <c r="B172" i="4"/>
  <c r="C172" i="4"/>
  <c r="D172" i="4"/>
  <c r="D176" i="4" s="1"/>
  <c r="D179" i="4" s="1"/>
  <c r="E176" i="4"/>
  <c r="E179" i="4" s="1"/>
  <c r="E180" i="4" s="1"/>
  <c r="F176" i="4"/>
  <c r="F179" i="4" s="1"/>
  <c r="F209" i="4" s="1"/>
  <c r="G176" i="4"/>
  <c r="G179" i="4" s="1"/>
  <c r="G180" i="4" s="1"/>
  <c r="H176" i="4"/>
  <c r="H179" i="4" s="1"/>
  <c r="H180" i="4" s="1"/>
  <c r="I176" i="4"/>
  <c r="I179" i="4" s="1"/>
  <c r="I180" i="4" s="1"/>
  <c r="E216" i="3" l="1"/>
  <c r="F14" i="3"/>
  <c r="F52" i="5" s="1"/>
  <c r="F58" i="5" s="1"/>
  <c r="H182" i="3"/>
  <c r="E200" i="3"/>
  <c r="D206" i="3"/>
  <c r="H201" i="3"/>
  <c r="H203" i="3" s="1"/>
  <c r="D201" i="3"/>
  <c r="D203" i="3" s="1"/>
  <c r="C18" i="5"/>
  <c r="H168" i="4"/>
  <c r="H169" i="4" s="1"/>
  <c r="G211" i="3"/>
  <c r="G212" i="3" s="1"/>
  <c r="G168" i="4"/>
  <c r="G169" i="4" s="1"/>
  <c r="F18" i="5"/>
  <c r="H200" i="3"/>
  <c r="G72" i="3"/>
  <c r="E44" i="5"/>
  <c r="D200" i="3"/>
  <c r="E135" i="4"/>
  <c r="E136" i="4" s="1"/>
  <c r="B59" i="4"/>
  <c r="B60" i="4" s="1"/>
  <c r="H160" i="3"/>
  <c r="H162" i="3" s="1"/>
  <c r="D207" i="3"/>
  <c r="I200" i="3"/>
  <c r="I209" i="3"/>
  <c r="E209" i="3"/>
  <c r="I209" i="4"/>
  <c r="E209" i="4"/>
  <c r="G182" i="3"/>
  <c r="G184" i="3" s="1"/>
  <c r="C182" i="3"/>
  <c r="C184" i="3" s="1"/>
  <c r="G206" i="3"/>
  <c r="F59" i="4"/>
  <c r="F60" i="4" s="1"/>
  <c r="D76" i="3"/>
  <c r="D165" i="3"/>
  <c r="H184" i="3"/>
  <c r="B194" i="3"/>
  <c r="G207" i="3"/>
  <c r="D98" i="4"/>
  <c r="B44" i="5"/>
  <c r="B83" i="3"/>
  <c r="B84" i="3" s="1"/>
  <c r="F121" i="3"/>
  <c r="F123" i="3" s="1"/>
  <c r="I194" i="3"/>
  <c r="K194" i="3" s="1"/>
  <c r="L194" i="3" s="1"/>
  <c r="M194" i="3" s="1"/>
  <c r="N194" i="3" s="1"/>
  <c r="E181" i="3"/>
  <c r="H187" i="3"/>
  <c r="D187" i="3"/>
  <c r="H191" i="3"/>
  <c r="H194" i="3"/>
  <c r="D194" i="3"/>
  <c r="H197" i="3"/>
  <c r="D197" i="3"/>
  <c r="C191" i="3"/>
  <c r="H206" i="3"/>
  <c r="H209" i="4"/>
  <c r="G210" i="3"/>
  <c r="G216" i="3"/>
  <c r="C98" i="4"/>
  <c r="I59" i="4"/>
  <c r="I60" i="4" s="1"/>
  <c r="G17" i="3"/>
  <c r="D188" i="3"/>
  <c r="B216" i="3"/>
  <c r="C44" i="5"/>
  <c r="F180" i="4"/>
  <c r="B98" i="4"/>
  <c r="F8" i="3"/>
  <c r="F47" i="5" s="1"/>
  <c r="F17" i="3"/>
  <c r="I17" i="3"/>
  <c r="E17" i="3"/>
  <c r="D196" i="3"/>
  <c r="B197" i="3"/>
  <c r="G191" i="3"/>
  <c r="I216" i="3"/>
  <c r="J216" i="3" s="1"/>
  <c r="K216" i="3" s="1"/>
  <c r="E210" i="3"/>
  <c r="C206" i="3"/>
  <c r="D182" i="3"/>
  <c r="D184" i="3" s="1"/>
  <c r="C210" i="3"/>
  <c r="C216" i="3"/>
  <c r="E59" i="4"/>
  <c r="E60" i="4" s="1"/>
  <c r="G8" i="3"/>
  <c r="G6" i="5" s="1"/>
  <c r="G14" i="3"/>
  <c r="H14" i="3"/>
  <c r="G200" i="3"/>
  <c r="D69" i="3"/>
  <c r="D66" i="3" s="1"/>
  <c r="D68" i="3" s="1"/>
  <c r="F181" i="3"/>
  <c r="D191" i="3"/>
  <c r="D215" i="3"/>
  <c r="H210" i="3"/>
  <c r="D210" i="3"/>
  <c r="H216" i="3"/>
  <c r="D216" i="3"/>
  <c r="H18" i="5"/>
  <c r="B176" i="4"/>
  <c r="B179" i="4" s="1"/>
  <c r="B180" i="4" s="1"/>
  <c r="B69" i="3"/>
  <c r="B8" i="3" s="1"/>
  <c r="B154" i="4"/>
  <c r="B157" i="4" s="1"/>
  <c r="B158" i="4" s="1"/>
  <c r="B79" i="3"/>
  <c r="B17" i="3" s="1"/>
  <c r="C200" i="3"/>
  <c r="B200" i="3"/>
  <c r="B207" i="3"/>
  <c r="B205" i="3"/>
  <c r="F205" i="3"/>
  <c r="F206" i="3"/>
  <c r="B201" i="3"/>
  <c r="B203" i="3" s="1"/>
  <c r="F209" i="3"/>
  <c r="F210" i="3"/>
  <c r="B206" i="3"/>
  <c r="G209" i="4"/>
  <c r="B167" i="4"/>
  <c r="B211" i="3" s="1"/>
  <c r="B212" i="3" s="1"/>
  <c r="B76" i="3"/>
  <c r="C73" i="3"/>
  <c r="C75" i="3" s="1"/>
  <c r="C143" i="4"/>
  <c r="C146" i="4" s="1"/>
  <c r="H135" i="4"/>
  <c r="H136" i="4" s="1"/>
  <c r="I14" i="3"/>
  <c r="B181" i="3"/>
  <c r="C181" i="3"/>
  <c r="F187" i="3"/>
  <c r="B191" i="3"/>
  <c r="F191" i="3"/>
  <c r="F182" i="3"/>
  <c r="F184" i="3" s="1"/>
  <c r="F194" i="3"/>
  <c r="F193" i="3"/>
  <c r="F197" i="3"/>
  <c r="F213" i="3"/>
  <c r="B73" i="3"/>
  <c r="B143" i="4"/>
  <c r="B146" i="4" s="1"/>
  <c r="E147" i="4"/>
  <c r="E12" i="4"/>
  <c r="E20" i="4" s="1"/>
  <c r="I181" i="3"/>
  <c r="B187" i="3"/>
  <c r="E187" i="3"/>
  <c r="I191" i="3"/>
  <c r="I182" i="3"/>
  <c r="I184" i="3" s="1"/>
  <c r="J182" i="3" s="1"/>
  <c r="E191" i="3"/>
  <c r="E182" i="3"/>
  <c r="E184" i="3" s="1"/>
  <c r="E194" i="3"/>
  <c r="I197" i="3"/>
  <c r="E197" i="3"/>
  <c r="B182" i="3"/>
  <c r="B184" i="3" s="1"/>
  <c r="I188" i="3"/>
  <c r="I187" i="3"/>
  <c r="G215" i="3"/>
  <c r="F216" i="3"/>
  <c r="B210" i="3"/>
  <c r="F169" i="4"/>
  <c r="C69" i="3"/>
  <c r="C8" i="3" s="1"/>
  <c r="C176" i="4"/>
  <c r="C179" i="4" s="1"/>
  <c r="C180" i="4" s="1"/>
  <c r="C154" i="4"/>
  <c r="C157" i="4" s="1"/>
  <c r="C158" i="4" s="1"/>
  <c r="C79" i="3"/>
  <c r="C80" i="3" s="1"/>
  <c r="I10" i="4"/>
  <c r="E14" i="3"/>
  <c r="E52" i="5" s="1"/>
  <c r="E58" i="5" s="1"/>
  <c r="I168" i="4"/>
  <c r="I169" i="4" s="1"/>
  <c r="E8" i="3"/>
  <c r="I206" i="3"/>
  <c r="E205" i="3"/>
  <c r="E206" i="3"/>
  <c r="I210" i="3"/>
  <c r="C167" i="4"/>
  <c r="C211" i="3" s="1"/>
  <c r="C76" i="3"/>
  <c r="D77" i="3" s="1"/>
  <c r="I135" i="4"/>
  <c r="I136" i="4" s="1"/>
  <c r="G101" i="4"/>
  <c r="H8" i="3"/>
  <c r="H17" i="3"/>
  <c r="D17" i="3"/>
  <c r="E74" i="3"/>
  <c r="I160" i="3"/>
  <c r="I162" i="3" s="1"/>
  <c r="E160" i="3"/>
  <c r="E162" i="3" s="1"/>
  <c r="I44" i="5"/>
  <c r="E98" i="4"/>
  <c r="E100" i="4" s="1"/>
  <c r="E101" i="4" s="1"/>
  <c r="H10" i="4"/>
  <c r="H12" i="4" s="1"/>
  <c r="B10" i="4"/>
  <c r="B12" i="4" s="1"/>
  <c r="B20" i="4" s="1"/>
  <c r="C59" i="3"/>
  <c r="C61" i="3" s="1"/>
  <c r="D160" i="3"/>
  <c r="D162" i="3" s="1"/>
  <c r="C172" i="3"/>
  <c r="C175" i="3"/>
  <c r="C178" i="3"/>
  <c r="H196" i="3"/>
  <c r="C215" i="3"/>
  <c r="H215" i="3"/>
  <c r="I8" i="3"/>
  <c r="F135" i="4"/>
  <c r="F136" i="4" s="1"/>
  <c r="G10" i="4"/>
  <c r="G12" i="4" s="1"/>
  <c r="G20" i="4" s="1"/>
  <c r="F156" i="3"/>
  <c r="F158" i="3" s="1"/>
  <c r="B172" i="3"/>
  <c r="I172" i="3"/>
  <c r="H44" i="5"/>
  <c r="G18" i="5"/>
  <c r="D18" i="5"/>
  <c r="E18" i="5"/>
  <c r="I18" i="5"/>
  <c r="F44" i="5"/>
  <c r="F207" i="3"/>
  <c r="F212" i="3"/>
  <c r="E201" i="3"/>
  <c r="E203" i="3" s="1"/>
  <c r="B209" i="3"/>
  <c r="F201" i="3"/>
  <c r="F203" i="3" s="1"/>
  <c r="I201" i="3"/>
  <c r="I203" i="3" s="1"/>
  <c r="I205" i="3"/>
  <c r="F200" i="3"/>
  <c r="C201" i="3"/>
  <c r="C203" i="3" s="1"/>
  <c r="G201" i="3"/>
  <c r="C205" i="3"/>
  <c r="G205" i="3"/>
  <c r="E207" i="3"/>
  <c r="I207" i="3"/>
  <c r="C209" i="3"/>
  <c r="G209" i="3"/>
  <c r="E215" i="3"/>
  <c r="I215" i="3"/>
  <c r="D205" i="3"/>
  <c r="H205" i="3"/>
  <c r="D209" i="3"/>
  <c r="H209" i="3"/>
  <c r="J211" i="3"/>
  <c r="J212" i="3" s="1"/>
  <c r="I212" i="3"/>
  <c r="B215" i="3"/>
  <c r="F215" i="3"/>
  <c r="K199" i="3"/>
  <c r="G55" i="3"/>
  <c r="G57" i="3" s="1"/>
  <c r="C63" i="3"/>
  <c r="C65" i="3" s="1"/>
  <c r="C160" i="3"/>
  <c r="C162" i="3" s="1"/>
  <c r="G160" i="3"/>
  <c r="G162" i="3" s="1"/>
  <c r="B178" i="3"/>
  <c r="G193" i="3"/>
  <c r="K160" i="3"/>
  <c r="I146" i="3"/>
  <c r="H53" i="3"/>
  <c r="H59" i="3"/>
  <c r="H61" i="3" s="1"/>
  <c r="D59" i="3"/>
  <c r="D61" i="3" s="1"/>
  <c r="H63" i="3"/>
  <c r="H65" i="3" s="1"/>
  <c r="D63" i="3"/>
  <c r="D65" i="3" s="1"/>
  <c r="I106" i="3"/>
  <c r="K152" i="3"/>
  <c r="H172" i="3"/>
  <c r="D172" i="3"/>
  <c r="H175" i="3"/>
  <c r="D175" i="3"/>
  <c r="H178" i="3"/>
  <c r="D178" i="3"/>
  <c r="E190" i="3"/>
  <c r="I190" i="3"/>
  <c r="F172" i="3"/>
  <c r="F175" i="3"/>
  <c r="F178" i="3"/>
  <c r="I175" i="3"/>
  <c r="E172" i="3"/>
  <c r="E175" i="3"/>
  <c r="I178" i="3"/>
  <c r="E178" i="3"/>
  <c r="G172" i="3"/>
  <c r="G175" i="3"/>
  <c r="G178" i="3"/>
  <c r="C193" i="3"/>
  <c r="B160" i="3"/>
  <c r="B162" i="3" s="1"/>
  <c r="E186" i="3"/>
  <c r="E137" i="3"/>
  <c r="B188" i="3"/>
  <c r="F188" i="3"/>
  <c r="B186" i="3"/>
  <c r="B190" i="3"/>
  <c r="B175" i="3"/>
  <c r="I186" i="3"/>
  <c r="F190" i="3"/>
  <c r="C196" i="3"/>
  <c r="G196" i="3"/>
  <c r="F186" i="3"/>
  <c r="H188" i="3"/>
  <c r="C188" i="3"/>
  <c r="C186" i="3"/>
  <c r="G188" i="3"/>
  <c r="G186" i="3"/>
  <c r="E188" i="3"/>
  <c r="C190" i="3"/>
  <c r="G190" i="3"/>
  <c r="D193" i="3"/>
  <c r="H193" i="3"/>
  <c r="E196" i="3"/>
  <c r="I196" i="3"/>
  <c r="D186" i="3"/>
  <c r="H186" i="3"/>
  <c r="D190" i="3"/>
  <c r="H190" i="3"/>
  <c r="E193" i="3"/>
  <c r="I193" i="3"/>
  <c r="B196" i="3"/>
  <c r="F196" i="3"/>
  <c r="C177" i="3"/>
  <c r="F160" i="3"/>
  <c r="F162" i="3" s="1"/>
  <c r="L160" i="3"/>
  <c r="J159" i="3"/>
  <c r="D81" i="3"/>
  <c r="K94" i="3"/>
  <c r="I112" i="3"/>
  <c r="J89" i="3"/>
  <c r="J93" i="3"/>
  <c r="D111" i="3"/>
  <c r="J58" i="3"/>
  <c r="G21" i="3"/>
  <c r="G3" i="3" s="1"/>
  <c r="G3" i="5" s="1"/>
  <c r="G24" i="5" s="1"/>
  <c r="C21" i="3"/>
  <c r="C71" i="3" s="1"/>
  <c r="K55" i="3"/>
  <c r="K90" i="3"/>
  <c r="I109" i="3"/>
  <c r="J62" i="3"/>
  <c r="E101" i="3"/>
  <c r="B134" i="3"/>
  <c r="G148" i="3"/>
  <c r="G150" i="3" s="1"/>
  <c r="H177" i="3"/>
  <c r="B21" i="3"/>
  <c r="B63" i="3"/>
  <c r="B65" i="3" s="1"/>
  <c r="H90" i="3"/>
  <c r="H92" i="3" s="1"/>
  <c r="D90" i="3"/>
  <c r="D92" i="3" s="1"/>
  <c r="J120" i="3"/>
  <c r="I121" i="3"/>
  <c r="I123" i="3" s="1"/>
  <c r="E121" i="3"/>
  <c r="E123" i="3" s="1"/>
  <c r="D169" i="3"/>
  <c r="F171" i="3"/>
  <c r="H97" i="3"/>
  <c r="H21" i="3"/>
  <c r="H78" i="3" s="1"/>
  <c r="D21" i="3"/>
  <c r="F77" i="3"/>
  <c r="D103" i="3"/>
  <c r="F105" i="3"/>
  <c r="B158" i="3"/>
  <c r="G75" i="3"/>
  <c r="G81" i="3"/>
  <c r="E61" i="3"/>
  <c r="I101" i="3"/>
  <c r="E55" i="3"/>
  <c r="E57" i="3" s="1"/>
  <c r="D53" i="3"/>
  <c r="C99" i="3"/>
  <c r="C109" i="3"/>
  <c r="H125" i="3"/>
  <c r="H127" i="3" s="1"/>
  <c r="D152" i="3"/>
  <c r="D154" i="3" s="1"/>
  <c r="G156" i="3"/>
  <c r="G158" i="3" s="1"/>
  <c r="F163" i="3"/>
  <c r="F165" i="3" s="1"/>
  <c r="I74" i="3"/>
  <c r="C86" i="3"/>
  <c r="C88" i="3" s="1"/>
  <c r="C94" i="3"/>
  <c r="C96" i="3" s="1"/>
  <c r="G94" i="3"/>
  <c r="G96" i="3" s="1"/>
  <c r="H169" i="3"/>
  <c r="I59" i="3"/>
  <c r="I61" i="3" s="1"/>
  <c r="D75" i="3"/>
  <c r="C106" i="3"/>
  <c r="G109" i="3"/>
  <c r="G112" i="3"/>
  <c r="D125" i="3"/>
  <c r="D127" i="3" s="1"/>
  <c r="H152" i="3"/>
  <c r="H154" i="3" s="1"/>
  <c r="F21" i="3"/>
  <c r="I63" i="3"/>
  <c r="I65" i="3" s="1"/>
  <c r="F70" i="3"/>
  <c r="J85" i="3"/>
  <c r="I90" i="3"/>
  <c r="I92" i="3" s="1"/>
  <c r="E90" i="3"/>
  <c r="E92" i="3" s="1"/>
  <c r="I94" i="3"/>
  <c r="I96" i="3" s="1"/>
  <c r="E94" i="3"/>
  <c r="E96" i="3" s="1"/>
  <c r="K117" i="3"/>
  <c r="B150" i="3"/>
  <c r="F148" i="3"/>
  <c r="F150" i="3" s="1"/>
  <c r="M59" i="3"/>
  <c r="E75" i="3"/>
  <c r="C114" i="3"/>
  <c r="C140" i="3" s="1"/>
  <c r="D117" i="3"/>
  <c r="D119" i="3" s="1"/>
  <c r="G128" i="3"/>
  <c r="G130" i="3" s="1"/>
  <c r="C128" i="3"/>
  <c r="G140" i="3"/>
  <c r="G143" i="3"/>
  <c r="H142" i="3"/>
  <c r="C142" i="3"/>
  <c r="B152" i="3"/>
  <c r="B154" i="3" s="1"/>
  <c r="B146" i="3"/>
  <c r="F152" i="3"/>
  <c r="F154" i="3" s="1"/>
  <c r="I52" i="3"/>
  <c r="I53" i="3" s="1"/>
  <c r="J54" i="3"/>
  <c r="E65" i="3"/>
  <c r="H81" i="3"/>
  <c r="H80" i="3"/>
  <c r="H75" i="3"/>
  <c r="H66" i="3"/>
  <c r="H68" i="3" s="1"/>
  <c r="H72" i="3"/>
  <c r="I55" i="3"/>
  <c r="I57" i="3" s="1"/>
  <c r="K59" i="3"/>
  <c r="K86" i="3"/>
  <c r="E167" i="3"/>
  <c r="E168" i="3"/>
  <c r="E163" i="3"/>
  <c r="E165" i="3" s="1"/>
  <c r="I167" i="3"/>
  <c r="I168" i="3"/>
  <c r="I163" i="3"/>
  <c r="I165" i="3" s="1"/>
  <c r="C174" i="3"/>
  <c r="G174" i="3"/>
  <c r="I21" i="3"/>
  <c r="E21" i="3"/>
  <c r="L59" i="3"/>
  <c r="K63" i="3"/>
  <c r="G80" i="3"/>
  <c r="F74" i="3"/>
  <c r="I137" i="3"/>
  <c r="I133" i="3"/>
  <c r="G102" i="3"/>
  <c r="G103" i="3"/>
  <c r="C102" i="3"/>
  <c r="C103" i="3"/>
  <c r="G106" i="3"/>
  <c r="G97" i="3"/>
  <c r="G99" i="3" s="1"/>
  <c r="C112" i="3"/>
  <c r="C111" i="3"/>
  <c r="I102" i="3"/>
  <c r="G142" i="3"/>
  <c r="E152" i="3"/>
  <c r="E154" i="3" s="1"/>
  <c r="I152" i="3"/>
  <c r="I154" i="3" s="1"/>
  <c r="F101" i="3"/>
  <c r="F103" i="3"/>
  <c r="C108" i="3"/>
  <c r="G108" i="3"/>
  <c r="G111" i="3"/>
  <c r="E102" i="3"/>
  <c r="E106" i="3"/>
  <c r="E112" i="3"/>
  <c r="E109" i="3"/>
  <c r="C117" i="3"/>
  <c r="C119" i="3" s="1"/>
  <c r="G117" i="3"/>
  <c r="G119" i="3" s="1"/>
  <c r="C125" i="3"/>
  <c r="C127" i="3" s="1"/>
  <c r="G125" i="3"/>
  <c r="G127" i="3" s="1"/>
  <c r="C139" i="3"/>
  <c r="G139" i="3"/>
  <c r="C148" i="3"/>
  <c r="C150" i="3" s="1"/>
  <c r="C156" i="3"/>
  <c r="C158" i="3" s="1"/>
  <c r="B169" i="3"/>
  <c r="B163" i="3"/>
  <c r="F169" i="3"/>
  <c r="F167" i="3"/>
  <c r="B167" i="3"/>
  <c r="G177" i="3"/>
  <c r="E81" i="3"/>
  <c r="K121" i="3"/>
  <c r="B125" i="3"/>
  <c r="B127" i="3" s="1"/>
  <c r="H163" i="3"/>
  <c r="H165" i="3" s="1"/>
  <c r="D177" i="3"/>
  <c r="C55" i="3"/>
  <c r="C57" i="3" s="1"/>
  <c r="F55" i="3"/>
  <c r="F57" i="3" s="1"/>
  <c r="G59" i="3"/>
  <c r="G61" i="3" s="1"/>
  <c r="G63" i="3"/>
  <c r="G65" i="3" s="1"/>
  <c r="B52" i="3"/>
  <c r="F52" i="3"/>
  <c r="G53" i="3" s="1"/>
  <c r="B94" i="3"/>
  <c r="B96" i="3" s="1"/>
  <c r="H111" i="3"/>
  <c r="E105" i="3"/>
  <c r="D142" i="3"/>
  <c r="E133" i="3"/>
  <c r="K148" i="3"/>
  <c r="C152" i="3"/>
  <c r="C154" i="3" s="1"/>
  <c r="G152" i="3"/>
  <c r="G154" i="3" s="1"/>
  <c r="L152" i="3"/>
  <c r="D156" i="3"/>
  <c r="D158" i="3" s="1"/>
  <c r="H156" i="3"/>
  <c r="H158" i="3" s="1"/>
  <c r="C169" i="3"/>
  <c r="G169" i="3"/>
  <c r="E171" i="3"/>
  <c r="I171" i="3"/>
  <c r="F86" i="3"/>
  <c r="F88" i="3" s="1"/>
  <c r="B171" i="3"/>
  <c r="F174" i="3"/>
  <c r="L148" i="3"/>
  <c r="E156" i="3"/>
  <c r="E158" i="3" s="1"/>
  <c r="I156" i="3"/>
  <c r="I158" i="3" s="1"/>
  <c r="D148" i="3"/>
  <c r="D150" i="3" s="1"/>
  <c r="H148" i="3"/>
  <c r="H150" i="3" s="1"/>
  <c r="K156" i="3"/>
  <c r="E148" i="3"/>
  <c r="E150" i="3" s="1"/>
  <c r="I148" i="3"/>
  <c r="I150" i="3" s="1"/>
  <c r="L156" i="3"/>
  <c r="C163" i="3"/>
  <c r="G163" i="3"/>
  <c r="G165" i="3" s="1"/>
  <c r="C167" i="3"/>
  <c r="G167" i="3"/>
  <c r="E169" i="3"/>
  <c r="I169" i="3"/>
  <c r="C171" i="3"/>
  <c r="G171" i="3"/>
  <c r="D174" i="3"/>
  <c r="H174" i="3"/>
  <c r="E177" i="3"/>
  <c r="I177" i="3"/>
  <c r="J147" i="3"/>
  <c r="J155" i="3"/>
  <c r="D167" i="3"/>
  <c r="H167" i="3"/>
  <c r="C168" i="3"/>
  <c r="G168" i="3"/>
  <c r="D171" i="3"/>
  <c r="H171" i="3"/>
  <c r="E174" i="3"/>
  <c r="I174" i="3"/>
  <c r="B177" i="3"/>
  <c r="F177" i="3"/>
  <c r="B139" i="3"/>
  <c r="F136" i="3"/>
  <c r="B128" i="3"/>
  <c r="B129" i="3" s="1"/>
  <c r="F132" i="3"/>
  <c r="E128" i="3"/>
  <c r="F134" i="3"/>
  <c r="B119" i="3"/>
  <c r="B114" i="3"/>
  <c r="F114" i="3"/>
  <c r="L125" i="3"/>
  <c r="M119" i="3"/>
  <c r="N119" i="3" s="1"/>
  <c r="L117" i="3"/>
  <c r="F125" i="3"/>
  <c r="F127" i="3" s="1"/>
  <c r="E125" i="3"/>
  <c r="E127" i="3" s="1"/>
  <c r="I125" i="3"/>
  <c r="I127" i="3" s="1"/>
  <c r="J124" i="3"/>
  <c r="D114" i="3"/>
  <c r="H114" i="3"/>
  <c r="H115" i="3" s="1"/>
  <c r="H117" i="3"/>
  <c r="H119" i="3" s="1"/>
  <c r="K125" i="3"/>
  <c r="C134" i="3"/>
  <c r="C132" i="3"/>
  <c r="C133" i="3"/>
  <c r="G134" i="3"/>
  <c r="G132" i="3"/>
  <c r="G133" i="3"/>
  <c r="D139" i="3"/>
  <c r="H139" i="3"/>
  <c r="E142" i="3"/>
  <c r="E134" i="3"/>
  <c r="I134" i="3"/>
  <c r="I142" i="3"/>
  <c r="F117" i="3"/>
  <c r="F119" i="3" s="1"/>
  <c r="E114" i="3"/>
  <c r="E117" i="3"/>
  <c r="E119" i="3" s="1"/>
  <c r="I114" i="3"/>
  <c r="I117" i="3"/>
  <c r="I119" i="3" s="1"/>
  <c r="J116" i="3"/>
  <c r="D121" i="3"/>
  <c r="D123" i="3" s="1"/>
  <c r="C121" i="3"/>
  <c r="C123" i="3" s="1"/>
  <c r="H121" i="3"/>
  <c r="H123" i="3" s="1"/>
  <c r="G121" i="3"/>
  <c r="G123" i="3" s="1"/>
  <c r="E132" i="3"/>
  <c r="D132" i="3"/>
  <c r="D134" i="3"/>
  <c r="C136" i="3"/>
  <c r="C137" i="3"/>
  <c r="G136" i="3"/>
  <c r="G137" i="3"/>
  <c r="D128" i="3"/>
  <c r="H128" i="3"/>
  <c r="H132" i="3"/>
  <c r="D136" i="3"/>
  <c r="H136" i="3"/>
  <c r="E139" i="3"/>
  <c r="I139" i="3"/>
  <c r="B142" i="3"/>
  <c r="F142" i="3"/>
  <c r="I132" i="3"/>
  <c r="E136" i="3"/>
  <c r="I136" i="3"/>
  <c r="F139" i="3"/>
  <c r="F108" i="3"/>
  <c r="B108" i="3"/>
  <c r="I97" i="3"/>
  <c r="I99" i="3" s="1"/>
  <c r="E97" i="3"/>
  <c r="I105" i="3"/>
  <c r="F97" i="3"/>
  <c r="B103" i="3"/>
  <c r="B101" i="3"/>
  <c r="F94" i="3"/>
  <c r="F96" i="3" s="1"/>
  <c r="G86" i="3"/>
  <c r="G88" i="3" s="1"/>
  <c r="F83" i="3"/>
  <c r="F133" i="3" s="1"/>
  <c r="E86" i="3"/>
  <c r="E88" i="3" s="1"/>
  <c r="D83" i="3"/>
  <c r="D137" i="3" s="1"/>
  <c r="D86" i="3"/>
  <c r="D88" i="3" s="1"/>
  <c r="I86" i="3"/>
  <c r="I88" i="3" s="1"/>
  <c r="H83" i="3"/>
  <c r="H137" i="3" s="1"/>
  <c r="H86" i="3"/>
  <c r="H88" i="3" s="1"/>
  <c r="C90" i="3"/>
  <c r="C92" i="3" s="1"/>
  <c r="B90" i="3"/>
  <c r="B92" i="3" s="1"/>
  <c r="G90" i="3"/>
  <c r="G92" i="3" s="1"/>
  <c r="F90" i="3"/>
  <c r="F92" i="3" s="1"/>
  <c r="D98" i="3"/>
  <c r="L94" i="3"/>
  <c r="L90" i="3"/>
  <c r="D94" i="3"/>
  <c r="D96" i="3" s="1"/>
  <c r="H94" i="3"/>
  <c r="H96" i="3" s="1"/>
  <c r="B98" i="3"/>
  <c r="C101" i="3"/>
  <c r="G101" i="3"/>
  <c r="E103" i="3"/>
  <c r="I103" i="3"/>
  <c r="C105" i="3"/>
  <c r="G105" i="3"/>
  <c r="D108" i="3"/>
  <c r="H108" i="3"/>
  <c r="E111" i="3"/>
  <c r="I111" i="3"/>
  <c r="D101" i="3"/>
  <c r="H101" i="3"/>
  <c r="D105" i="3"/>
  <c r="H105" i="3"/>
  <c r="E108" i="3"/>
  <c r="I108" i="3"/>
  <c r="B111" i="3"/>
  <c r="F111" i="3"/>
  <c r="I70" i="3"/>
  <c r="G77" i="3"/>
  <c r="E66" i="3"/>
  <c r="F66" i="3"/>
  <c r="F72" i="3"/>
  <c r="F63" i="3"/>
  <c r="F65" i="3" s="1"/>
  <c r="B55" i="3"/>
  <c r="B57" i="3" s="1"/>
  <c r="N59" i="3"/>
  <c r="L55" i="3"/>
  <c r="D55" i="3"/>
  <c r="D57" i="3" s="1"/>
  <c r="H55" i="3"/>
  <c r="H57" i="3" s="1"/>
  <c r="B59" i="3"/>
  <c r="B61" i="3" s="1"/>
  <c r="F59" i="3"/>
  <c r="F61" i="3" s="1"/>
  <c r="G66" i="3"/>
  <c r="G70" i="3"/>
  <c r="E72" i="3"/>
  <c r="G74" i="3"/>
  <c r="H77" i="3"/>
  <c r="E80" i="3"/>
  <c r="I80" i="3"/>
  <c r="H70" i="3"/>
  <c r="G71" i="3"/>
  <c r="H74" i="3"/>
  <c r="E77" i="3"/>
  <c r="I77" i="3"/>
  <c r="B80" i="3"/>
  <c r="F80" i="3"/>
  <c r="B35" i="3"/>
  <c r="D180" i="4"/>
  <c r="D209" i="4"/>
  <c r="F12" i="4"/>
  <c r="F20" i="4" s="1"/>
  <c r="F147" i="4"/>
  <c r="D167" i="4"/>
  <c r="D211" i="3" s="1"/>
  <c r="D213" i="3" s="1"/>
  <c r="E168" i="4"/>
  <c r="E169" i="4" s="1"/>
  <c r="J215" i="3" l="1"/>
  <c r="I52" i="5"/>
  <c r="I58" i="5" s="1"/>
  <c r="K151" i="3"/>
  <c r="L151" i="3" s="1"/>
  <c r="L86" i="3"/>
  <c r="D80" i="3"/>
  <c r="C81" i="3"/>
  <c r="D72" i="3"/>
  <c r="K159" i="3"/>
  <c r="L159" i="3" s="1"/>
  <c r="J214" i="3"/>
  <c r="G78" i="3"/>
  <c r="H52" i="5"/>
  <c r="H58" i="5" s="1"/>
  <c r="G52" i="5"/>
  <c r="G58" i="5" s="1"/>
  <c r="H212" i="3"/>
  <c r="G213" i="3"/>
  <c r="G147" i="4"/>
  <c r="H147" i="4"/>
  <c r="B102" i="3"/>
  <c r="B133" i="3"/>
  <c r="B112" i="3"/>
  <c r="C17" i="3"/>
  <c r="B66" i="3"/>
  <c r="B67" i="3" s="1"/>
  <c r="I183" i="3"/>
  <c r="B202" i="3"/>
  <c r="G47" i="5"/>
  <c r="B137" i="3"/>
  <c r="B168" i="3"/>
  <c r="E70" i="3"/>
  <c r="B109" i="3"/>
  <c r="C72" i="3"/>
  <c r="B99" i="3"/>
  <c r="D14" i="3"/>
  <c r="F6" i="5"/>
  <c r="C84" i="3"/>
  <c r="B74" i="3"/>
  <c r="B106" i="3"/>
  <c r="D8" i="3"/>
  <c r="D6" i="5" s="1"/>
  <c r="B14" i="3"/>
  <c r="B52" i="5" s="1"/>
  <c r="B58" i="5" s="1"/>
  <c r="F202" i="3"/>
  <c r="B168" i="4"/>
  <c r="B169" i="4" s="1"/>
  <c r="B209" i="4"/>
  <c r="B72" i="3"/>
  <c r="C213" i="3"/>
  <c r="D212" i="3"/>
  <c r="C47" i="5"/>
  <c r="C6" i="5"/>
  <c r="B78" i="3"/>
  <c r="B3" i="3"/>
  <c r="B183" i="3"/>
  <c r="C77" i="3"/>
  <c r="E202" i="3"/>
  <c r="H47" i="5"/>
  <c r="H6" i="5"/>
  <c r="I147" i="4"/>
  <c r="I12" i="4"/>
  <c r="D168" i="4"/>
  <c r="D169" i="4" s="1"/>
  <c r="C212" i="3"/>
  <c r="B213" i="3"/>
  <c r="B70" i="3"/>
  <c r="F78" i="3"/>
  <c r="F3" i="3"/>
  <c r="F3" i="5" s="1"/>
  <c r="F24" i="5" s="1"/>
  <c r="C78" i="3"/>
  <c r="C3" i="3"/>
  <c r="C3" i="5" s="1"/>
  <c r="C24" i="5" s="1"/>
  <c r="H202" i="3"/>
  <c r="G203" i="3"/>
  <c r="E47" i="5"/>
  <c r="E6" i="5"/>
  <c r="C14" i="3"/>
  <c r="I71" i="3"/>
  <c r="I3" i="3"/>
  <c r="D78" i="3"/>
  <c r="D3" i="3"/>
  <c r="D3" i="5" s="1"/>
  <c r="D24" i="5" s="1"/>
  <c r="B47" i="5"/>
  <c r="B6" i="5"/>
  <c r="C74" i="3"/>
  <c r="C70" i="3"/>
  <c r="J145" i="3"/>
  <c r="J146" i="3" s="1"/>
  <c r="H71" i="3"/>
  <c r="H3" i="3"/>
  <c r="H3" i="5" s="1"/>
  <c r="H24" i="5" s="1"/>
  <c r="I47" i="5"/>
  <c r="I6" i="5"/>
  <c r="B147" i="4"/>
  <c r="D74" i="3"/>
  <c r="D70" i="3"/>
  <c r="C66" i="3"/>
  <c r="C68" i="3" s="1"/>
  <c r="B77" i="3"/>
  <c r="E78" i="3"/>
  <c r="E3" i="3"/>
  <c r="E3" i="5" s="1"/>
  <c r="E24" i="5" s="1"/>
  <c r="E212" i="3"/>
  <c r="C147" i="4"/>
  <c r="C209" i="4"/>
  <c r="I202" i="3"/>
  <c r="J204" i="3"/>
  <c r="J206" i="3" s="1"/>
  <c r="K211" i="3"/>
  <c r="K212" i="3" s="1"/>
  <c r="K214" i="3"/>
  <c r="L199" i="3"/>
  <c r="C202" i="3"/>
  <c r="G202" i="3"/>
  <c r="K215" i="3"/>
  <c r="L216" i="3"/>
  <c r="D202" i="3"/>
  <c r="F183" i="3"/>
  <c r="K93" i="3"/>
  <c r="L93" i="3" s="1"/>
  <c r="C143" i="3"/>
  <c r="B164" i="3"/>
  <c r="B165" i="3"/>
  <c r="D164" i="3"/>
  <c r="C165" i="3"/>
  <c r="E183" i="3"/>
  <c r="I130" i="3"/>
  <c r="I115" i="3"/>
  <c r="D115" i="3"/>
  <c r="C129" i="3"/>
  <c r="J83" i="3"/>
  <c r="J84" i="3" s="1"/>
  <c r="K89" i="3"/>
  <c r="L89" i="3" s="1"/>
  <c r="G183" i="3"/>
  <c r="C183" i="3"/>
  <c r="D183" i="3"/>
  <c r="H183" i="3"/>
  <c r="J192" i="3"/>
  <c r="J193" i="3" s="1"/>
  <c r="C146" i="3"/>
  <c r="N160" i="3"/>
  <c r="M160" i="3"/>
  <c r="F71" i="3"/>
  <c r="H102" i="3"/>
  <c r="B71" i="3"/>
  <c r="K58" i="3"/>
  <c r="L58" i="3" s="1"/>
  <c r="M58" i="3" s="1"/>
  <c r="N58" i="3" s="1"/>
  <c r="H99" i="3"/>
  <c r="D130" i="3"/>
  <c r="D168" i="3"/>
  <c r="D112" i="3"/>
  <c r="D133" i="3"/>
  <c r="H112" i="3"/>
  <c r="K85" i="3"/>
  <c r="D71" i="3"/>
  <c r="D106" i="3"/>
  <c r="K120" i="3"/>
  <c r="H106" i="3"/>
  <c r="F164" i="3"/>
  <c r="I75" i="3"/>
  <c r="L63" i="3"/>
  <c r="G129" i="3"/>
  <c r="F137" i="3"/>
  <c r="F146" i="3"/>
  <c r="F53" i="3"/>
  <c r="F68" i="3"/>
  <c r="G146" i="3"/>
  <c r="I81" i="3"/>
  <c r="J80" i="3" s="1"/>
  <c r="H140" i="3"/>
  <c r="F143" i="3"/>
  <c r="H130" i="3"/>
  <c r="G115" i="3"/>
  <c r="I78" i="3"/>
  <c r="K78" i="3" s="1"/>
  <c r="L78" i="3" s="1"/>
  <c r="M78" i="3" s="1"/>
  <c r="N78" i="3" s="1"/>
  <c r="H133" i="3"/>
  <c r="H109" i="3"/>
  <c r="D99" i="3"/>
  <c r="F130" i="3"/>
  <c r="H67" i="3"/>
  <c r="G68" i="3"/>
  <c r="E67" i="3"/>
  <c r="E68" i="3"/>
  <c r="E98" i="3"/>
  <c r="E99" i="3"/>
  <c r="E115" i="3"/>
  <c r="E140" i="3"/>
  <c r="E143" i="3"/>
  <c r="E130" i="3"/>
  <c r="B81" i="3"/>
  <c r="C53" i="3"/>
  <c r="B75" i="3"/>
  <c r="D140" i="3"/>
  <c r="F84" i="3"/>
  <c r="F109" i="3"/>
  <c r="F106" i="3"/>
  <c r="F112" i="3"/>
  <c r="F102" i="3"/>
  <c r="F129" i="3"/>
  <c r="K155" i="3"/>
  <c r="L155" i="3" s="1"/>
  <c r="B68" i="3"/>
  <c r="K54" i="3"/>
  <c r="L54" i="3" s="1"/>
  <c r="J52" i="3"/>
  <c r="J66" i="3" s="1"/>
  <c r="J67" i="3" s="1"/>
  <c r="E71" i="3"/>
  <c r="F98" i="3"/>
  <c r="F99" i="3"/>
  <c r="M117" i="3"/>
  <c r="I140" i="3"/>
  <c r="I143" i="3"/>
  <c r="J142" i="3" s="1"/>
  <c r="K124" i="3"/>
  <c r="L124" i="3" s="1"/>
  <c r="F115" i="3"/>
  <c r="D143" i="3"/>
  <c r="E164" i="3"/>
  <c r="C130" i="3"/>
  <c r="B53" i="3"/>
  <c r="N117" i="3"/>
  <c r="B115" i="3"/>
  <c r="B143" i="3"/>
  <c r="B140" i="3"/>
  <c r="B130" i="3"/>
  <c r="F168" i="3"/>
  <c r="H168" i="3"/>
  <c r="F140" i="3"/>
  <c r="L121" i="3"/>
  <c r="H143" i="3"/>
  <c r="F75" i="3"/>
  <c r="F81" i="3"/>
  <c r="I164" i="3"/>
  <c r="D109" i="3"/>
  <c r="D102" i="3"/>
  <c r="G164" i="3"/>
  <c r="H164" i="3"/>
  <c r="N156" i="3"/>
  <c r="M156" i="3"/>
  <c r="H146" i="3"/>
  <c r="K147" i="3"/>
  <c r="C164" i="3"/>
  <c r="N148" i="3"/>
  <c r="M148" i="3"/>
  <c r="D146" i="3"/>
  <c r="E146" i="3"/>
  <c r="N152" i="3"/>
  <c r="M152" i="3"/>
  <c r="C115" i="3"/>
  <c r="H129" i="3"/>
  <c r="I129" i="3"/>
  <c r="N125" i="3"/>
  <c r="M125" i="3"/>
  <c r="D129" i="3"/>
  <c r="E129" i="3"/>
  <c r="K116" i="3"/>
  <c r="J114" i="3"/>
  <c r="J115" i="3" s="1"/>
  <c r="I98" i="3"/>
  <c r="G84" i="3"/>
  <c r="G98" i="3"/>
  <c r="N86" i="3"/>
  <c r="M86" i="3"/>
  <c r="C98" i="3"/>
  <c r="H98" i="3"/>
  <c r="D84" i="3"/>
  <c r="E84" i="3"/>
  <c r="N90" i="3"/>
  <c r="M90" i="3"/>
  <c r="H84" i="3"/>
  <c r="I84" i="3"/>
  <c r="N94" i="3"/>
  <c r="M94" i="3"/>
  <c r="F67" i="3"/>
  <c r="N63" i="3"/>
  <c r="M63" i="3"/>
  <c r="K62" i="3"/>
  <c r="G67" i="3"/>
  <c r="N55" i="3"/>
  <c r="M55" i="3"/>
  <c r="C168" i="4"/>
  <c r="C169" i="4" s="1"/>
  <c r="H64" i="4"/>
  <c r="H76" i="4" s="1"/>
  <c r="H98" i="4" s="1"/>
  <c r="H100" i="4" s="1"/>
  <c r="H20" i="4"/>
  <c r="I3" i="5" l="1"/>
  <c r="I24" i="5" s="1"/>
  <c r="I4" i="3"/>
  <c r="B5" i="3"/>
  <c r="M155" i="3"/>
  <c r="N155" i="3" s="1"/>
  <c r="L85" i="3"/>
  <c r="L83" i="3" s="1"/>
  <c r="D47" i="5"/>
  <c r="D52" i="5"/>
  <c r="D58" i="5" s="1"/>
  <c r="C52" i="5"/>
  <c r="C58" i="5" s="1"/>
  <c r="C67" i="3"/>
  <c r="K80" i="3"/>
  <c r="J107" i="3"/>
  <c r="J108" i="3" s="1"/>
  <c r="K182" i="3"/>
  <c r="B5" i="5"/>
  <c r="B7" i="5" s="1"/>
  <c r="B11" i="5" s="1"/>
  <c r="B11" i="3"/>
  <c r="B46" i="5" s="1"/>
  <c r="B49" i="5" s="1"/>
  <c r="B54" i="5" s="1"/>
  <c r="B4" i="3"/>
  <c r="B4" i="5" s="1"/>
  <c r="B3" i="5"/>
  <c r="B24" i="5" s="1"/>
  <c r="D67" i="3"/>
  <c r="I64" i="4"/>
  <c r="I76" i="4" s="1"/>
  <c r="I98" i="4" s="1"/>
  <c r="I20" i="4"/>
  <c r="L214" i="3"/>
  <c r="L211" i="3"/>
  <c r="L212" i="3" s="1"/>
  <c r="M199" i="3"/>
  <c r="K204" i="3"/>
  <c r="K206" i="3" s="1"/>
  <c r="M216" i="3"/>
  <c r="L215" i="3"/>
  <c r="J205" i="3"/>
  <c r="K145" i="3"/>
  <c r="M89" i="3"/>
  <c r="N89" i="3" s="1"/>
  <c r="K83" i="3"/>
  <c r="K107" i="3" s="1"/>
  <c r="M159" i="3"/>
  <c r="N159" i="3" s="1"/>
  <c r="K192" i="3"/>
  <c r="K193" i="3" s="1"/>
  <c r="J163" i="3"/>
  <c r="M93" i="3"/>
  <c r="N93" i="3" s="1"/>
  <c r="L120" i="3"/>
  <c r="M151" i="3"/>
  <c r="N151" i="3" s="1"/>
  <c r="J177" i="3"/>
  <c r="M124" i="3"/>
  <c r="N124" i="3" s="1"/>
  <c r="N121" i="3"/>
  <c r="M121" i="3"/>
  <c r="M54" i="3"/>
  <c r="N54" i="3" s="1"/>
  <c r="J173" i="3"/>
  <c r="J174" i="3" s="1"/>
  <c r="J176" i="3"/>
  <c r="J166" i="3" s="1"/>
  <c r="L147" i="3"/>
  <c r="L145" i="3" s="1"/>
  <c r="K114" i="3"/>
  <c r="L116" i="3"/>
  <c r="J138" i="3"/>
  <c r="J139" i="3" s="1"/>
  <c r="J141" i="3"/>
  <c r="J131" i="3" s="1"/>
  <c r="J128" i="3"/>
  <c r="J97" i="3"/>
  <c r="J98" i="3" s="1"/>
  <c r="J76" i="3"/>
  <c r="J77" i="3" s="1"/>
  <c r="J79" i="3"/>
  <c r="J53" i="3"/>
  <c r="L62" i="3"/>
  <c r="K52" i="3"/>
  <c r="I99" i="4"/>
  <c r="H101" i="4"/>
  <c r="K108" i="3" l="1"/>
  <c r="J170" i="3"/>
  <c r="J171" i="3" s="1"/>
  <c r="M85" i="3"/>
  <c r="N85" i="3" s="1"/>
  <c r="N83" i="3" s="1"/>
  <c r="B55" i="5"/>
  <c r="B53" i="5"/>
  <c r="L182" i="3"/>
  <c r="K142" i="3"/>
  <c r="I100" i="4"/>
  <c r="I101" i="4" s="1"/>
  <c r="J135" i="3"/>
  <c r="B14" i="5"/>
  <c r="K205" i="3"/>
  <c r="L204" i="3"/>
  <c r="L206" i="3" s="1"/>
  <c r="N216" i="3"/>
  <c r="N215" i="3" s="1"/>
  <c r="M215" i="3"/>
  <c r="N199" i="3"/>
  <c r="M211" i="3"/>
  <c r="M212" i="3" s="1"/>
  <c r="M214" i="3"/>
  <c r="K97" i="3"/>
  <c r="K98" i="3" s="1"/>
  <c r="K84" i="3"/>
  <c r="L80" i="3"/>
  <c r="L192" i="3"/>
  <c r="L193" i="3" s="1"/>
  <c r="J172" i="3"/>
  <c r="M120" i="3"/>
  <c r="N120" i="3" s="1"/>
  <c r="K177" i="3"/>
  <c r="J167" i="3"/>
  <c r="M147" i="3"/>
  <c r="M145" i="3" s="1"/>
  <c r="J164" i="3"/>
  <c r="K173" i="3"/>
  <c r="K174" i="3" s="1"/>
  <c r="K176" i="3"/>
  <c r="K166" i="3" s="1"/>
  <c r="K146" i="3"/>
  <c r="K163" i="3"/>
  <c r="L142" i="3"/>
  <c r="J129" i="3"/>
  <c r="L114" i="3"/>
  <c r="M116" i="3"/>
  <c r="J132" i="3"/>
  <c r="K138" i="3"/>
  <c r="K139" i="3" s="1"/>
  <c r="K141" i="3"/>
  <c r="K131" i="3" s="1"/>
  <c r="K115" i="3"/>
  <c r="K128" i="3"/>
  <c r="L84" i="3"/>
  <c r="L107" i="3"/>
  <c r="L108" i="3" s="1"/>
  <c r="L97" i="3"/>
  <c r="K76" i="3"/>
  <c r="K77" i="3" s="1"/>
  <c r="K79" i="3"/>
  <c r="K53" i="3"/>
  <c r="M62" i="3"/>
  <c r="L52" i="3"/>
  <c r="N80" i="3"/>
  <c r="M80" i="3"/>
  <c r="M83" i="3" l="1"/>
  <c r="M84" i="3" s="1"/>
  <c r="B66" i="5"/>
  <c r="B68" i="5" s="1"/>
  <c r="M182" i="3"/>
  <c r="B19" i="5"/>
  <c r="B16" i="5"/>
  <c r="N211" i="3"/>
  <c r="N212" i="3" s="1"/>
  <c r="N214" i="3"/>
  <c r="L205" i="3"/>
  <c r="M204" i="3"/>
  <c r="M206" i="3" s="1"/>
  <c r="N182" i="3"/>
  <c r="M192" i="3"/>
  <c r="M193" i="3" s="1"/>
  <c r="L177" i="3"/>
  <c r="K164" i="3"/>
  <c r="K170" i="3"/>
  <c r="K172" i="3" s="1"/>
  <c r="K167" i="3"/>
  <c r="N147" i="3"/>
  <c r="N145" i="3" s="1"/>
  <c r="L176" i="3"/>
  <c r="L166" i="3" s="1"/>
  <c r="L146" i="3"/>
  <c r="L173" i="3"/>
  <c r="L174" i="3" s="1"/>
  <c r="L163" i="3"/>
  <c r="K129" i="3"/>
  <c r="K135" i="3"/>
  <c r="J137" i="3"/>
  <c r="J136" i="3"/>
  <c r="K132" i="3"/>
  <c r="M114" i="3"/>
  <c r="N116" i="3"/>
  <c r="N114" i="3" s="1"/>
  <c r="L141" i="3"/>
  <c r="L131" i="3" s="1"/>
  <c r="L115" i="3"/>
  <c r="L128" i="3"/>
  <c r="L138" i="3"/>
  <c r="L139" i="3" s="1"/>
  <c r="N142" i="3"/>
  <c r="M142" i="3"/>
  <c r="L98" i="3"/>
  <c r="N107" i="3"/>
  <c r="N97" i="3"/>
  <c r="N84" i="3"/>
  <c r="M97" i="3"/>
  <c r="L79" i="3"/>
  <c r="L53" i="3"/>
  <c r="L76" i="3"/>
  <c r="L77" i="3" s="1"/>
  <c r="N62" i="3"/>
  <c r="N52" i="3" s="1"/>
  <c r="M52" i="3"/>
  <c r="M107" i="3" l="1"/>
  <c r="M108" i="3" s="1"/>
  <c r="C67" i="5"/>
  <c r="B69" i="5"/>
  <c r="N192" i="3"/>
  <c r="N193" i="3" s="1"/>
  <c r="N204" i="3"/>
  <c r="N206" i="3" s="1"/>
  <c r="M205" i="3"/>
  <c r="N177" i="3"/>
  <c r="M177" i="3"/>
  <c r="L167" i="3"/>
  <c r="L164" i="3"/>
  <c r="L170" i="3"/>
  <c r="L172" i="3" s="1"/>
  <c r="N173" i="3"/>
  <c r="N146" i="3"/>
  <c r="N163" i="3"/>
  <c r="K171" i="3"/>
  <c r="M163" i="3"/>
  <c r="M176" i="3"/>
  <c r="M166" i="3" s="1"/>
  <c r="M173" i="3"/>
  <c r="M174" i="3" s="1"/>
  <c r="M146" i="3"/>
  <c r="N138" i="3"/>
  <c r="N141" i="3"/>
  <c r="N131" i="3" s="1"/>
  <c r="N115" i="3"/>
  <c r="N128" i="3"/>
  <c r="K136" i="3"/>
  <c r="K137" i="3"/>
  <c r="L132" i="3"/>
  <c r="M128" i="3"/>
  <c r="M138" i="3"/>
  <c r="M139" i="3" s="1"/>
  <c r="M141" i="3"/>
  <c r="M131" i="3" s="1"/>
  <c r="M115" i="3"/>
  <c r="L129" i="3"/>
  <c r="L135" i="3"/>
  <c r="M98" i="3"/>
  <c r="N98" i="3"/>
  <c r="M79" i="3"/>
  <c r="M53" i="3"/>
  <c r="M76" i="3"/>
  <c r="M77" i="3" s="1"/>
  <c r="N76" i="3"/>
  <c r="N79" i="3"/>
  <c r="N53" i="3"/>
  <c r="N108" i="3" l="1"/>
  <c r="N205" i="3"/>
  <c r="N176" i="3"/>
  <c r="N166" i="3" s="1"/>
  <c r="N167" i="3" s="1"/>
  <c r="M170" i="3"/>
  <c r="M172" i="3" s="1"/>
  <c r="M164" i="3"/>
  <c r="N174" i="3"/>
  <c r="M167" i="3"/>
  <c r="N164" i="3"/>
  <c r="L171" i="3"/>
  <c r="M132" i="3"/>
  <c r="L137" i="3"/>
  <c r="L136" i="3"/>
  <c r="N135" i="3"/>
  <c r="N129" i="3"/>
  <c r="N132" i="3"/>
  <c r="M135" i="3"/>
  <c r="M129" i="3"/>
  <c r="N139" i="3"/>
  <c r="N77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B13" i="3"/>
  <c r="B9" i="5" s="1"/>
  <c r="B12" i="3"/>
  <c r="B8" i="5" s="1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B7" i="3"/>
  <c r="B6" i="3"/>
  <c r="I4" i="5"/>
  <c r="H4" i="3"/>
  <c r="H4" i="5" s="1"/>
  <c r="G4" i="3"/>
  <c r="G4" i="5" s="1"/>
  <c r="F4" i="3"/>
  <c r="F4" i="5" s="1"/>
  <c r="E4" i="3"/>
  <c r="E4" i="5" s="1"/>
  <c r="D4" i="3"/>
  <c r="D4" i="5" s="1"/>
  <c r="C4" i="3"/>
  <c r="C4" i="5" s="1"/>
  <c r="N170" i="3" l="1"/>
  <c r="N172" i="3" s="1"/>
  <c r="M171" i="3"/>
  <c r="M136" i="3"/>
  <c r="M137" i="3"/>
  <c r="N137" i="3"/>
  <c r="N136" i="3"/>
  <c r="B49" i="3"/>
  <c r="K34" i="3"/>
  <c r="L34" i="3" s="1"/>
  <c r="M34" i="3" s="1"/>
  <c r="N34" i="3" s="1"/>
  <c r="J32" i="3"/>
  <c r="K30" i="3"/>
  <c r="L30" i="3" s="1"/>
  <c r="M30" i="3" s="1"/>
  <c r="N30" i="3" s="1"/>
  <c r="J28" i="3"/>
  <c r="J27" i="3" s="1"/>
  <c r="K26" i="3"/>
  <c r="L26" i="3" s="1"/>
  <c r="M26" i="3" s="1"/>
  <c r="N26" i="3" s="1"/>
  <c r="N171" i="3" l="1"/>
  <c r="N24" i="3"/>
  <c r="F49" i="3"/>
  <c r="C49" i="3"/>
  <c r="E49" i="3"/>
  <c r="D49" i="3"/>
  <c r="G49" i="3"/>
  <c r="H49" i="3"/>
  <c r="I49" i="3"/>
  <c r="L24" i="3"/>
  <c r="M24" i="3"/>
  <c r="K24" i="3"/>
  <c r="H41" i="3"/>
  <c r="G41" i="3"/>
  <c r="F41" i="3"/>
  <c r="E41" i="3"/>
  <c r="D41" i="3"/>
  <c r="C41" i="3"/>
  <c r="B41" i="3"/>
  <c r="J31" i="3"/>
  <c r="J21" i="3" s="1"/>
  <c r="B32" i="3"/>
  <c r="B28" i="3"/>
  <c r="B30" i="3" s="1"/>
  <c r="B24" i="3"/>
  <c r="B26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J45" i="3" l="1"/>
  <c r="J48" i="3"/>
  <c r="J22" i="3"/>
  <c r="J35" i="3"/>
  <c r="J3" i="3"/>
  <c r="K41" i="3"/>
  <c r="L41" i="3" s="1"/>
  <c r="G32" i="3"/>
  <c r="G34" i="3" s="1"/>
  <c r="H24" i="3"/>
  <c r="H26" i="3" s="1"/>
  <c r="E28" i="3"/>
  <c r="E30" i="3" s="1"/>
  <c r="C26" i="3"/>
  <c r="C46" i="3"/>
  <c r="D24" i="3"/>
  <c r="D26" i="3" s="1"/>
  <c r="G43" i="3"/>
  <c r="G46" i="3"/>
  <c r="G24" i="3"/>
  <c r="G26" i="3" s="1"/>
  <c r="H35" i="3"/>
  <c r="H5" i="3" s="1"/>
  <c r="H46" i="3"/>
  <c r="B34" i="3"/>
  <c r="I35" i="3"/>
  <c r="I5" i="3" s="1"/>
  <c r="E32" i="3"/>
  <c r="E34" i="3" s="1"/>
  <c r="C32" i="3"/>
  <c r="C34" i="3" s="1"/>
  <c r="B36" i="3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C5" i="3" s="1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G5" i="3" s="1"/>
  <c r="K23" i="3"/>
  <c r="L23" i="3" s="1"/>
  <c r="M23" i="3" s="1"/>
  <c r="N23" i="3" s="1"/>
  <c r="I39" i="3"/>
  <c r="I43" i="3"/>
  <c r="I46" i="3"/>
  <c r="D35" i="3"/>
  <c r="D5" i="3" s="1"/>
  <c r="E43" i="3"/>
  <c r="F24" i="3"/>
  <c r="F26" i="3" s="1"/>
  <c r="E35" i="3"/>
  <c r="E5" i="3" s="1"/>
  <c r="F35" i="3"/>
  <c r="F5" i="3" s="1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K28" i="3"/>
  <c r="K27" i="3" s="1"/>
  <c r="J42" i="3" l="1"/>
  <c r="J44" i="3" s="1"/>
  <c r="J4" i="3"/>
  <c r="J36" i="3"/>
  <c r="F5" i="5"/>
  <c r="F7" i="5" s="1"/>
  <c r="F11" i="5" s="1"/>
  <c r="F11" i="3"/>
  <c r="F7" i="3"/>
  <c r="F6" i="3"/>
  <c r="D5" i="5"/>
  <c r="D7" i="5" s="1"/>
  <c r="D11" i="5" s="1"/>
  <c r="D11" i="3"/>
  <c r="D7" i="3"/>
  <c r="D6" i="3"/>
  <c r="I5" i="5"/>
  <c r="I7" i="5" s="1"/>
  <c r="I11" i="5" s="1"/>
  <c r="I11" i="3"/>
  <c r="I7" i="3"/>
  <c r="I6" i="3"/>
  <c r="E5" i="5"/>
  <c r="E7" i="5" s="1"/>
  <c r="E11" i="5" s="1"/>
  <c r="E11" i="3"/>
  <c r="E7" i="3"/>
  <c r="E6" i="3"/>
  <c r="G5" i="5"/>
  <c r="G7" i="5" s="1"/>
  <c r="G11" i="5" s="1"/>
  <c r="G11" i="3"/>
  <c r="G7" i="3"/>
  <c r="G6" i="3"/>
  <c r="C5" i="5"/>
  <c r="C7" i="5" s="1"/>
  <c r="C11" i="5" s="1"/>
  <c r="C11" i="3"/>
  <c r="C7" i="3"/>
  <c r="C6" i="3"/>
  <c r="H5" i="5"/>
  <c r="H7" i="5" s="1"/>
  <c r="H11" i="5" s="1"/>
  <c r="H11" i="3"/>
  <c r="H7" i="3"/>
  <c r="H6" i="3"/>
  <c r="J168" i="3"/>
  <c r="J133" i="3"/>
  <c r="I36" i="3"/>
  <c r="M41" i="3"/>
  <c r="C36" i="3"/>
  <c r="G36" i="3"/>
  <c r="H36" i="3"/>
  <c r="D36" i="3"/>
  <c r="F36" i="3"/>
  <c r="E36" i="3"/>
  <c r="L32" i="3"/>
  <c r="L31" i="3" s="1"/>
  <c r="L28" i="3"/>
  <c r="L27" i="3" s="1"/>
  <c r="K21" i="3"/>
  <c r="F37" i="3"/>
  <c r="E37" i="3"/>
  <c r="I50" i="3"/>
  <c r="J49" i="3" s="1"/>
  <c r="K3" i="3" l="1"/>
  <c r="J4" i="5"/>
  <c r="H46" i="5"/>
  <c r="H49" i="5" s="1"/>
  <c r="H13" i="3"/>
  <c r="H9" i="5" s="1"/>
  <c r="H12" i="3"/>
  <c r="H8" i="5" s="1"/>
  <c r="C46" i="5"/>
  <c r="C49" i="5" s="1"/>
  <c r="C12" i="3"/>
  <c r="C8" i="5" s="1"/>
  <c r="C13" i="3"/>
  <c r="C9" i="5" s="1"/>
  <c r="G46" i="5"/>
  <c r="G49" i="5" s="1"/>
  <c r="G13" i="3"/>
  <c r="G9" i="5" s="1"/>
  <c r="G12" i="3"/>
  <c r="G8" i="5" s="1"/>
  <c r="E46" i="5"/>
  <c r="E49" i="5" s="1"/>
  <c r="E13" i="3"/>
  <c r="E9" i="5" s="1"/>
  <c r="E12" i="3"/>
  <c r="E8" i="5" s="1"/>
  <c r="I46" i="5"/>
  <c r="I49" i="5" s="1"/>
  <c r="I13" i="3"/>
  <c r="I9" i="5" s="1"/>
  <c r="I12" i="3"/>
  <c r="D46" i="5"/>
  <c r="D49" i="5" s="1"/>
  <c r="D13" i="3"/>
  <c r="D9" i="5" s="1"/>
  <c r="D12" i="3"/>
  <c r="D8" i="5" s="1"/>
  <c r="F46" i="5"/>
  <c r="F49" i="5" s="1"/>
  <c r="F13" i="3"/>
  <c r="F9" i="5" s="1"/>
  <c r="F12" i="3"/>
  <c r="F8" i="5" s="1"/>
  <c r="H14" i="5"/>
  <c r="C14" i="5"/>
  <c r="C13" i="5"/>
  <c r="G14" i="5"/>
  <c r="G13" i="5"/>
  <c r="E14" i="5"/>
  <c r="E13" i="5"/>
  <c r="I14" i="5"/>
  <c r="I16" i="5" s="1"/>
  <c r="D13" i="5"/>
  <c r="D14" i="5"/>
  <c r="F13" i="5"/>
  <c r="F14" i="5"/>
  <c r="K168" i="3"/>
  <c r="K133" i="3"/>
  <c r="C50" i="3"/>
  <c r="C22" i="3"/>
  <c r="C44" i="3"/>
  <c r="C40" i="3"/>
  <c r="C47" i="3"/>
  <c r="G44" i="3"/>
  <c r="G50" i="3"/>
  <c r="G47" i="3"/>
  <c r="G40" i="3"/>
  <c r="G22" i="3"/>
  <c r="N41" i="3"/>
  <c r="F50" i="3"/>
  <c r="F44" i="3"/>
  <c r="F47" i="3"/>
  <c r="F40" i="3"/>
  <c r="F22" i="3"/>
  <c r="D22" i="3"/>
  <c r="D40" i="3"/>
  <c r="D47" i="3"/>
  <c r="D50" i="3"/>
  <c r="D44" i="3"/>
  <c r="H50" i="3"/>
  <c r="H22" i="3"/>
  <c r="H44" i="3"/>
  <c r="H47" i="3"/>
  <c r="H40" i="3"/>
  <c r="D37" i="3"/>
  <c r="H37" i="3"/>
  <c r="B22" i="3"/>
  <c r="B50" i="3"/>
  <c r="B40" i="3"/>
  <c r="B44" i="3"/>
  <c r="B47" i="3"/>
  <c r="K50" i="3"/>
  <c r="E50" i="3"/>
  <c r="E22" i="3"/>
  <c r="E44" i="3"/>
  <c r="E47" i="3"/>
  <c r="E40" i="3"/>
  <c r="B37" i="3"/>
  <c r="G37" i="3"/>
  <c r="C37" i="3"/>
  <c r="I22" i="3"/>
  <c r="I44" i="3"/>
  <c r="I40" i="3"/>
  <c r="I47" i="3"/>
  <c r="K22" i="3"/>
  <c r="M32" i="3"/>
  <c r="M31" i="3" s="1"/>
  <c r="N32" i="3"/>
  <c r="L21" i="3"/>
  <c r="M28" i="3"/>
  <c r="M27" i="3" s="1"/>
  <c r="N28" i="3"/>
  <c r="I53" i="5" l="1"/>
  <c r="I54" i="5"/>
  <c r="I55" i="5" s="1"/>
  <c r="H53" i="5"/>
  <c r="H54" i="5"/>
  <c r="H55" i="5" s="1"/>
  <c r="H66" i="5" s="1"/>
  <c r="D53" i="5"/>
  <c r="D54" i="5"/>
  <c r="D55" i="5" s="1"/>
  <c r="D66" i="5" s="1"/>
  <c r="C54" i="5"/>
  <c r="C55" i="5" s="1"/>
  <c r="C66" i="5" s="1"/>
  <c r="C68" i="5" s="1"/>
  <c r="F53" i="5"/>
  <c r="F54" i="5"/>
  <c r="F55" i="5" s="1"/>
  <c r="F66" i="5" s="1"/>
  <c r="G53" i="5"/>
  <c r="G54" i="5"/>
  <c r="G55" i="5" s="1"/>
  <c r="G66" i="5" s="1"/>
  <c r="E53" i="5"/>
  <c r="E54" i="5"/>
  <c r="E55" i="5" s="1"/>
  <c r="C53" i="5"/>
  <c r="L3" i="3"/>
  <c r="F19" i="5"/>
  <c r="F16" i="5"/>
  <c r="E16" i="5"/>
  <c r="E19" i="5"/>
  <c r="C16" i="5"/>
  <c r="C19" i="5"/>
  <c r="I19" i="5"/>
  <c r="G19" i="5"/>
  <c r="G16" i="5"/>
  <c r="H19" i="5"/>
  <c r="H16" i="5"/>
  <c r="E66" i="5"/>
  <c r="K3" i="5"/>
  <c r="K4" i="3"/>
  <c r="K4" i="5" s="1"/>
  <c r="J39" i="3"/>
  <c r="D19" i="5"/>
  <c r="D16" i="5"/>
  <c r="I66" i="5"/>
  <c r="L168" i="3"/>
  <c r="L133" i="3"/>
  <c r="N31" i="3"/>
  <c r="L50" i="3"/>
  <c r="L48" i="3" s="1"/>
  <c r="K49" i="3"/>
  <c r="K48" i="3"/>
  <c r="L22" i="3"/>
  <c r="N27" i="3"/>
  <c r="M21" i="3"/>
  <c r="J40" i="3" l="1"/>
  <c r="L38" i="3"/>
  <c r="L3" i="5"/>
  <c r="L4" i="3"/>
  <c r="L4" i="5" s="1"/>
  <c r="M3" i="3"/>
  <c r="K38" i="3"/>
  <c r="J46" i="3"/>
  <c r="J14" i="3"/>
  <c r="C69" i="5"/>
  <c r="D67" i="5"/>
  <c r="D68" i="5" s="1"/>
  <c r="M133" i="3"/>
  <c r="M168" i="3"/>
  <c r="N21" i="3"/>
  <c r="K45" i="3"/>
  <c r="L49" i="3"/>
  <c r="M50" i="3"/>
  <c r="K35" i="3"/>
  <c r="M22" i="3"/>
  <c r="M3" i="5" l="1"/>
  <c r="M4" i="3"/>
  <c r="M4" i="5" s="1"/>
  <c r="N3" i="3"/>
  <c r="J16" i="3"/>
  <c r="J15" i="3"/>
  <c r="K36" i="3"/>
  <c r="K46" i="3"/>
  <c r="K14" i="3"/>
  <c r="D69" i="5"/>
  <c r="E67" i="5"/>
  <c r="E68" i="5" s="1"/>
  <c r="N22" i="3"/>
  <c r="N168" i="3"/>
  <c r="N133" i="3"/>
  <c r="J43" i="3"/>
  <c r="M49" i="3"/>
  <c r="N50" i="3"/>
  <c r="N49" i="3" s="1"/>
  <c r="L45" i="3"/>
  <c r="K42" i="3"/>
  <c r="M48" i="3"/>
  <c r="L35" i="3"/>
  <c r="M38" i="3" l="1"/>
  <c r="K15" i="3"/>
  <c r="K16" i="3"/>
  <c r="L46" i="3"/>
  <c r="L14" i="3"/>
  <c r="F67" i="5"/>
  <c r="F68" i="5" s="1"/>
  <c r="E69" i="5"/>
  <c r="N3" i="5"/>
  <c r="N4" i="3"/>
  <c r="N4" i="5" s="1"/>
  <c r="N48" i="3"/>
  <c r="M45" i="3"/>
  <c r="L36" i="3"/>
  <c r="L42" i="3"/>
  <c r="K44" i="3"/>
  <c r="K43" i="3"/>
  <c r="N35" i="3"/>
  <c r="M35" i="3"/>
  <c r="F69" i="5" l="1"/>
  <c r="G67" i="5"/>
  <c r="G68" i="5" s="1"/>
  <c r="M36" i="3"/>
  <c r="N38" i="3"/>
  <c r="L16" i="3"/>
  <c r="L15" i="3"/>
  <c r="M46" i="3"/>
  <c r="M14" i="3"/>
  <c r="L44" i="3"/>
  <c r="L43" i="3"/>
  <c r="M42" i="3"/>
  <c r="N45" i="3"/>
  <c r="N36" i="3"/>
  <c r="M16" i="3" l="1"/>
  <c r="M15" i="3"/>
  <c r="N46" i="3"/>
  <c r="N14" i="3"/>
  <c r="G69" i="5"/>
  <c r="H67" i="5"/>
  <c r="H68" i="5" s="1"/>
  <c r="N42" i="3"/>
  <c r="N44" i="3" s="1"/>
  <c r="M44" i="3"/>
  <c r="M43" i="3"/>
  <c r="K39" i="3"/>
  <c r="M39" i="3"/>
  <c r="N39" i="3"/>
  <c r="M40" i="3"/>
  <c r="N40" i="3"/>
  <c r="K40" i="3"/>
  <c r="L39" i="3"/>
  <c r="L40" i="3"/>
  <c r="N43" i="3" l="1"/>
  <c r="I67" i="5"/>
  <c r="I68" i="5" s="1"/>
  <c r="I69" i="5" s="1"/>
  <c r="H69" i="5"/>
  <c r="N16" i="3"/>
  <c r="N15" i="3"/>
  <c r="K183" i="3"/>
  <c r="N183" i="3"/>
  <c r="L183" i="3"/>
  <c r="J183" i="3"/>
  <c r="M183" i="3"/>
  <c r="M195" i="3" l="1"/>
  <c r="M196" i="3"/>
  <c r="N195" i="3"/>
  <c r="N196" i="3"/>
  <c r="L195" i="3"/>
  <c r="L196" i="3"/>
  <c r="K195" i="3"/>
  <c r="K196" i="3"/>
  <c r="J195" i="3"/>
  <c r="J196" i="3"/>
  <c r="M201" i="3"/>
  <c r="L201" i="3"/>
  <c r="K201" i="3"/>
  <c r="N201" i="3"/>
  <c r="J201" i="3"/>
  <c r="J5" i="3" s="1"/>
  <c r="K202" i="3" l="1"/>
  <c r="J185" i="3"/>
  <c r="M185" i="3"/>
  <c r="J202" i="3"/>
  <c r="L185" i="3"/>
  <c r="M208" i="3"/>
  <c r="M210" i="3" s="1"/>
  <c r="N208" i="3"/>
  <c r="N210" i="3" s="1"/>
  <c r="L208" i="3"/>
  <c r="L210" i="3" s="1"/>
  <c r="K185" i="3"/>
  <c r="N185" i="3"/>
  <c r="N202" i="3"/>
  <c r="L202" i="3"/>
  <c r="K208" i="3"/>
  <c r="J208" i="3"/>
  <c r="M202" i="3"/>
  <c r="L209" i="3" l="1"/>
  <c r="M209" i="3"/>
  <c r="K186" i="3"/>
  <c r="K187" i="3"/>
  <c r="K189" i="3"/>
  <c r="J186" i="3"/>
  <c r="J187" i="3"/>
  <c r="J189" i="3"/>
  <c r="J191" i="3" s="1"/>
  <c r="N209" i="3"/>
  <c r="N186" i="3"/>
  <c r="N187" i="3"/>
  <c r="N189" i="3"/>
  <c r="L186" i="3"/>
  <c r="L187" i="3"/>
  <c r="L189" i="3"/>
  <c r="M186" i="3"/>
  <c r="M187" i="3"/>
  <c r="M189" i="3"/>
  <c r="K209" i="3"/>
  <c r="K210" i="3"/>
  <c r="J209" i="3"/>
  <c r="J210" i="3"/>
  <c r="M191" i="3" l="1"/>
  <c r="M190" i="3"/>
  <c r="J190" i="3"/>
  <c r="K191" i="3"/>
  <c r="K190" i="3"/>
  <c r="L191" i="3"/>
  <c r="L190" i="3"/>
  <c r="N190" i="3"/>
  <c r="N191" i="3"/>
  <c r="L66" i="3"/>
  <c r="K66" i="3"/>
  <c r="M66" i="3"/>
  <c r="N66" i="3"/>
  <c r="M67" i="3" l="1"/>
  <c r="N5" i="3"/>
  <c r="N5" i="5" s="1"/>
  <c r="K67" i="3"/>
  <c r="K5" i="3"/>
  <c r="N67" i="3"/>
  <c r="M5" i="3"/>
  <c r="L5" i="3"/>
  <c r="L67" i="3"/>
  <c r="N7" i="3" l="1"/>
  <c r="J7" i="3"/>
  <c r="J5" i="5"/>
  <c r="J6" i="3"/>
  <c r="M5" i="5"/>
  <c r="M6" i="3"/>
  <c r="M7" i="3"/>
  <c r="N6" i="3"/>
  <c r="L6" i="3"/>
  <c r="L7" i="3"/>
  <c r="L5" i="5"/>
  <c r="K5" i="5"/>
  <c r="K7" i="3"/>
  <c r="K6" i="3"/>
  <c r="M69" i="3"/>
  <c r="M71" i="3" s="1"/>
  <c r="L69" i="3"/>
  <c r="L71" i="3" s="1"/>
  <c r="K69" i="3"/>
  <c r="K73" i="3" s="1"/>
  <c r="N69" i="3"/>
  <c r="J69" i="3"/>
  <c r="J73" i="3" s="1"/>
  <c r="J70" i="3" l="1"/>
  <c r="L73" i="3"/>
  <c r="L75" i="3" s="1"/>
  <c r="M70" i="3"/>
  <c r="K74" i="3"/>
  <c r="K75" i="3"/>
  <c r="K71" i="3"/>
  <c r="L70" i="3"/>
  <c r="M73" i="3"/>
  <c r="J75" i="3"/>
  <c r="J74" i="3"/>
  <c r="N71" i="3"/>
  <c r="J71" i="3"/>
  <c r="K70" i="3"/>
  <c r="N70" i="3"/>
  <c r="N73" i="3"/>
  <c r="L74" i="3" l="1"/>
  <c r="M74" i="3"/>
  <c r="M75" i="3"/>
  <c r="N74" i="3"/>
  <c r="N75" i="3"/>
  <c r="K111" i="3"/>
  <c r="J110" i="3"/>
  <c r="J17" i="3" s="1"/>
  <c r="J111" i="3"/>
  <c r="K110" i="3" l="1"/>
  <c r="J19" i="3"/>
  <c r="J18" i="3"/>
  <c r="J100" i="3"/>
  <c r="L110" i="3"/>
  <c r="K17" i="3" l="1"/>
  <c r="K100" i="3"/>
  <c r="K101" i="3" s="1"/>
  <c r="L111" i="3"/>
  <c r="J8" i="3"/>
  <c r="J104" i="3"/>
  <c r="J102" i="3"/>
  <c r="J101" i="3"/>
  <c r="L17" i="3"/>
  <c r="L100" i="3"/>
  <c r="K19" i="3" l="1"/>
  <c r="K18" i="3"/>
  <c r="M111" i="3"/>
  <c r="M110" i="3"/>
  <c r="K8" i="3"/>
  <c r="K47" i="5" s="1"/>
  <c r="K104" i="3"/>
  <c r="K106" i="3" s="1"/>
  <c r="K102" i="3"/>
  <c r="L18" i="3"/>
  <c r="L19" i="3"/>
  <c r="J105" i="3"/>
  <c r="J106" i="3"/>
  <c r="J11" i="3"/>
  <c r="J46" i="5" s="1"/>
  <c r="J9" i="3"/>
  <c r="J10" i="3"/>
  <c r="J6" i="5"/>
  <c r="J7" i="5" s="1"/>
  <c r="L101" i="3"/>
  <c r="L102" i="3"/>
  <c r="L8" i="3"/>
  <c r="L47" i="5" s="1"/>
  <c r="L104" i="3"/>
  <c r="K105" i="3" l="1"/>
  <c r="K6" i="5"/>
  <c r="K7" i="5" s="1"/>
  <c r="K10" i="3"/>
  <c r="K11" i="3"/>
  <c r="M17" i="3"/>
  <c r="M100" i="3"/>
  <c r="K9" i="3"/>
  <c r="N111" i="3"/>
  <c r="N110" i="3"/>
  <c r="L106" i="3"/>
  <c r="L105" i="3"/>
  <c r="J12" i="3"/>
  <c r="J13" i="3"/>
  <c r="J9" i="5" s="1"/>
  <c r="L11" i="3"/>
  <c r="L46" i="5" s="1"/>
  <c r="L9" i="3"/>
  <c r="L6" i="5"/>
  <c r="L7" i="5" s="1"/>
  <c r="L10" i="3"/>
  <c r="J8" i="5" l="1"/>
  <c r="J10" i="5" s="1"/>
  <c r="J11" i="5" s="1"/>
  <c r="J12" i="5" s="1"/>
  <c r="J13" i="5" s="1"/>
  <c r="K13" i="3"/>
  <c r="K9" i="5" s="1"/>
  <c r="K46" i="5"/>
  <c r="K12" i="3"/>
  <c r="K8" i="5" s="1"/>
  <c r="K10" i="5" s="1"/>
  <c r="N17" i="3"/>
  <c r="N100" i="3"/>
  <c r="M19" i="3"/>
  <c r="M18" i="3"/>
  <c r="M8" i="3"/>
  <c r="M47" i="5" s="1"/>
  <c r="M104" i="3"/>
  <c r="M101" i="3"/>
  <c r="M102" i="3"/>
  <c r="L12" i="3"/>
  <c r="L8" i="5" s="1"/>
  <c r="L13" i="3"/>
  <c r="L9" i="5" s="1"/>
  <c r="J14" i="5" l="1"/>
  <c r="M105" i="3"/>
  <c r="M106" i="3"/>
  <c r="N101" i="3"/>
  <c r="N102" i="3"/>
  <c r="N8" i="3"/>
  <c r="N47" i="5" s="1"/>
  <c r="N104" i="3"/>
  <c r="M10" i="3"/>
  <c r="M9" i="3"/>
  <c r="M6" i="5"/>
  <c r="M7" i="5" s="1"/>
  <c r="M11" i="3"/>
  <c r="M46" i="5" s="1"/>
  <c r="N19" i="3"/>
  <c r="N18" i="3"/>
  <c r="L10" i="5"/>
  <c r="K11" i="5"/>
  <c r="J16" i="5" l="1"/>
  <c r="J19" i="5"/>
  <c r="N6" i="5"/>
  <c r="N7" i="5" s="1"/>
  <c r="N10" i="3"/>
  <c r="N9" i="3"/>
  <c r="N11" i="3"/>
  <c r="N46" i="5" s="1"/>
  <c r="M13" i="3"/>
  <c r="M9" i="5" s="1"/>
  <c r="M12" i="3"/>
  <c r="M8" i="5" s="1"/>
  <c r="M10" i="5" s="1"/>
  <c r="N105" i="3"/>
  <c r="N106" i="3"/>
  <c r="K12" i="5"/>
  <c r="K13" i="5" s="1"/>
  <c r="L11" i="5"/>
  <c r="N13" i="3" l="1"/>
  <c r="N9" i="5" s="1"/>
  <c r="N12" i="3"/>
  <c r="N8" i="5" s="1"/>
  <c r="N10" i="5" s="1"/>
  <c r="N11" i="5" s="1"/>
  <c r="K14" i="5"/>
  <c r="L12" i="5"/>
  <c r="L13" i="5" s="1"/>
  <c r="M11" i="5"/>
  <c r="K16" i="5" l="1"/>
  <c r="K19" i="5"/>
  <c r="M12" i="5"/>
  <c r="M13" i="5" s="1"/>
  <c r="N12" i="5" s="1"/>
  <c r="N13" i="5" s="1"/>
  <c r="L14" i="5"/>
  <c r="L19" i="5" l="1"/>
  <c r="L16" i="5"/>
  <c r="N14" i="5"/>
  <c r="M14" i="5"/>
  <c r="M19" i="5" l="1"/>
  <c r="M16" i="5"/>
  <c r="N19" i="5"/>
  <c r="N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7" authorId="0" shapeId="0" xr:uid="{856809B6-1EA4-4505-9985-36810CD729D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<sst xmlns="http://schemas.openxmlformats.org/spreadsheetml/2006/main" count="588" uniqueCount="241">
  <si>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</si>
  <si>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</si>
  <si>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</si>
  <si>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</si>
  <si>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</si>
  <si>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</si>
  <si>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</si>
  <si>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</si>
  <si>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</si>
  <si>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</si>
  <si>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</si>
  <si>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</si>
  <si>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</si>
  <si>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</si>
  <si>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</si>
  <si>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</si>
  <si>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</si>
  <si>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</si>
  <si>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</si>
  <si>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</si>
  <si>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</si>
  <si>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</si>
  <si>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</si>
  <si>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</si>
  <si>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</si>
  <si>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</si>
  <si>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</si>
  <si>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</si>
  <si>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</si>
  <si>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</si>
  <si>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</si>
  <si>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</si>
  <si>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</si>
  <si>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</si>
  <si>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</si>
  <si>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</si>
  <si>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</si>
  <si>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</si>
  <si>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</si>
  <si>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</si>
  <si>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</si>
  <si>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</si>
  <si>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</si>
  <si>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</si>
  <si>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</si>
  <si>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</si>
  <si>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</si>
  <si>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</si>
  <si>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</si>
  <si>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</si>
  <si>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</si>
  <si>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</si>
  <si>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</si>
  <si>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</si>
  <si>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</si>
  <si>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</si>
  <si>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</si>
  <si>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</si>
  <si>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</si>
  <si>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</si>
  <si>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</si>
  <si>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</si>
  <si>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</si>
  <si>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</si>
  <si>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</si>
  <si>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</si>
  <si>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</si>
  <si>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</si>
  <si>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</si>
  <si>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</si>
  <si>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</si>
  <si>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</si>
  <si>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</si>
  <si>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</si>
  <si>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</si>
  <si>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</si>
  <si>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</si>
  <si>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</si>
  <si>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</si>
  <si>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</si>
  <si>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</si>
  <si>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</si>
  <si>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</si>
  <si>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</si>
  <si>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</si>
  <si>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</si>
  <si>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</si>
  <si>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</si>
  <si>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</si>
  <si>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</si>
  <si>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</si>
  <si>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</si>
  <si>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</si>
  <si>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</si>
  <si>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</si>
  <si>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</si>
  <si>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</si>
  <si>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</si>
  <si>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</si>
  <si>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</si>
  <si>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</si>
  <si>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</si>
  <si>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</si>
  <si>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</si>
  <si>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</si>
  <si>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</si>
  <si>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</si>
  <si>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</si>
  <si>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</si>
  <si>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</si>
  <si>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</si>
  <si>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</si>
  <si>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</si>
  <si>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</si>
  <si>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</si>
  <si>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</si>
  <si>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</si>
  <si>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</si>
  <si>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</si>
  <si>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</si>
  <si>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</si>
  <si>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</si>
  <si>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</si>
  <si>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</si>
  <si>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</si>
  <si>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</si>
  <si>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</si>
  <si>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</si>
  <si>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</si>
  <si>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</si>
  <si>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</si>
  <si>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</si>
  <si>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</si>
  <si>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</si>
  <si>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</si>
  <si>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</si>
  <si>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</si>
  <si>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</si>
  <si>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</si>
  <si>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</si>
  <si>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</si>
  <si>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 xml:space="preserve"> </t>
  </si>
  <si>
    <t>Group EBITDA</t>
  </si>
  <si>
    <t xml:space="preserve">  </t>
  </si>
  <si>
    <t>Others</t>
  </si>
  <si>
    <t>Income Statement</t>
  </si>
  <si>
    <t>Link from Segmental Forecast sheet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</si>
  <si>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</si>
  <si>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</si>
  <si>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</si>
  <si>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</si>
  <si>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</si>
  <si>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</si>
  <si>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</si>
  <si>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</si>
  <si>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</si>
  <si>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</si>
  <si>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</si>
  <si>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</si>
  <si>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</si>
  <si>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</si>
  <si>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</si>
  <si>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</si>
  <si>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</si>
  <si>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</si>
  <si>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</si>
  <si>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</si>
  <si>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</si>
  <si>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</si>
  <si>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</si>
  <si>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</si>
  <si>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</si>
  <si>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</si>
  <si>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</si>
  <si>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</si>
  <si>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</si>
  <si>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</si>
  <si>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</si>
  <si>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</si>
  <si>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</si>
  <si>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</si>
  <si>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</si>
  <si>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</si>
  <si>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</si>
  <si>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</si>
  <si>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</si>
  <si>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</si>
  <si>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</si>
  <si>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</si>
  <si>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</si>
  <si>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</si>
  <si>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</si>
  <si>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</si>
  <si>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</si>
  <si>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Instructions</t>
  </si>
  <si>
    <t>Inventory</t>
  </si>
  <si>
    <t>Receivables</t>
  </si>
  <si>
    <t>Payables</t>
  </si>
  <si>
    <t>Net working capital</t>
  </si>
  <si>
    <t>2014 Net working capital</t>
  </si>
  <si>
    <t>Long term debt payments, including current portion</t>
  </si>
  <si>
    <t>Excess tax benefits from share based payment arrangements</t>
  </si>
  <si>
    <t>Investments in reverse purchase agreement</t>
  </si>
  <si>
    <t>Disposal of PPE</t>
  </si>
  <si>
    <t>You are required to forecast each of the three segments</t>
  </si>
  <si>
    <t>Guidance:</t>
  </si>
  <si>
    <t>You can assign growth rates based on the historical trends you have observed in revenue growth.</t>
  </si>
  <si>
    <t>You can also keep the growth rates consistent with the pervious year if you feel that there will not be significant change in a particular product line.</t>
  </si>
  <si>
    <t>You are required to read the earnings call transcript and earnings presentation in additional to company press releases on key product lines and new developments.</t>
  </si>
  <si>
    <t>You can keep the currency impact at zero and drive only the organic growth.</t>
  </si>
  <si>
    <t>Please ensure to write your justifications and assumptions for each lines where you have assumed a forecast rate.</t>
  </si>
  <si>
    <t>You can take up to 7 days for this task.</t>
  </si>
  <si>
    <t>Justification</t>
  </si>
  <si>
    <t>Segmental Revenue</t>
  </si>
  <si>
    <t>Average growth rate for five years considering the un steady growth pattern. However, I expect an 260 bps and 200bps increase in 2025 and 2026 on the back of the World Football club expected to hold in 2026.</t>
  </si>
  <si>
    <t>Following the past years growth pattern, there have been 100bps increase year on year. To be consevative, I expect 50bps growth year on year. However, I expect a significant growth in 2025 and 2026 on the back of world events expected to happen in these years</t>
  </si>
  <si>
    <t>Considering the growth pattern over the years, I expect the revernue for this line to grow by 100bps every year but significant increase in 2025 and 2026 following expected demand ahead of the world cup</t>
  </si>
  <si>
    <t>EBITDA Margin</t>
  </si>
  <si>
    <t>Depreciation(% of PPE)</t>
  </si>
  <si>
    <t>PPE(As a % of Revenue)</t>
  </si>
  <si>
    <t>Capex( As a percentage of revenue)</t>
  </si>
  <si>
    <t>Following the margin pattern over the years, we expect an increase of 30% year on year</t>
  </si>
  <si>
    <t xml:space="preserve">60bps increase form 2020 and we expect it to remain constant over the years till 2027 </t>
  </si>
  <si>
    <t>150bps increase from 2022 and expected to remain constant over the years</t>
  </si>
  <si>
    <t>10bps increase from 2022 and expected to remain the same over the years</t>
  </si>
  <si>
    <t>Nike has been experiencing growth in this regions and we expect a stable growth rate of 10% over the years.</t>
  </si>
  <si>
    <t>Nike has been experiencing growth in this regions and we expect a stable growth rate of 10% till 2025 and would 200 bps in 2026 following high demand of footwear product line in this year and also a decline of 100bps in 2027.</t>
  </si>
  <si>
    <t>Following various events that is expected to occur in these regions. I expect 18.5% growth rate in 2023 and 2024 . At the company's earning call, the company expect a major growth in this product line.</t>
  </si>
  <si>
    <t>40bps increase from 2022 and it's expect to remain constant over the years</t>
  </si>
  <si>
    <t>160bps increase from 2022 and it is expected to remain the same</t>
  </si>
  <si>
    <t>Increase from previous years</t>
  </si>
  <si>
    <t>The company is experiencing double-digit growth in the region following the innovative measures the company is introducing in this region to improve sales in this product line. Hence increase in the growth to 12% in 2022 and expected 150bps increase year on year as sales improves</t>
  </si>
  <si>
    <t>Following the expected increase in the product line, I expect a corresponding increase of 100bps in EBITDA</t>
  </si>
  <si>
    <t>Following the inconsistent rates over the years,5- years average of 18.6% depreciation rate is assumed from 2022 till 2027</t>
  </si>
  <si>
    <t>Following the inconsistent rates over the years,5- years average of 1.2% depreciation rate is assumed from 2022 till 2027</t>
  </si>
  <si>
    <t>Following the inconsistent rates over the years,5- years average of 3.9% rate is assumed from 2022 till 2027</t>
  </si>
  <si>
    <t>Check and fix these issues in other segments as well</t>
  </si>
  <si>
    <t>Forecast this based on growth and keep the number negative consistent to the Historical trend</t>
  </si>
  <si>
    <t>Why has this halved from 2022 number? Keep it consistent with historical trend</t>
  </si>
  <si>
    <t>Why is growth rate declining by almost 50% in 2027? Keep it consistent, also consider the growth of newly launched products in Jordan and Air range</t>
  </si>
  <si>
    <t>Why is growth rate declining by almost 80% in 2027? Keep it consistent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</si>
</sst>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0" fontId="12" fillId="0" borderId="1" xfId="0" applyFont="1" applyBorder="1"/>
    <xf numFmtId="165" fontId="2" fillId="0" borderId="0" xfId="1" applyNumberFormat="1" applyFont="1" applyAlignment="1">
      <alignment horizontal="left" indent="1"/>
    </xf>
    <xf numFmtId="167" fontId="2" fillId="0" borderId="0" xfId="0" applyNumberFormat="1" applyFont="1"/>
    <xf numFmtId="0" fontId="6" fillId="4" borderId="0" xfId="4" applyNumberFormat="1" applyFont="1" applyBorder="1" applyAlignment="1">
      <alignment horizontal="right"/>
    </xf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13" fillId="0" borderId="0" xfId="1" applyNumberFormat="1" applyFont="1" applyAlignment="1">
      <alignment horizontal="left"/>
    </xf>
    <xf numFmtId="166" fontId="13" fillId="0" borderId="0" xfId="2" applyNumberFormat="1" applyFont="1" applyAlignment="1">
      <alignment horizontal="right"/>
    </xf>
    <xf numFmtId="166" fontId="16" fillId="8" borderId="0" xfId="2" applyNumberFormat="1" applyFont="1" applyFill="1"/>
    <xf numFmtId="164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164" fontId="15" fillId="0" borderId="0" xfId="1" applyFont="1" applyBorder="1"/>
    <xf numFmtId="165" fontId="0" fillId="0" borderId="0" xfId="0" applyNumberFormat="1"/>
    <xf numFmtId="165" fontId="17" fillId="8" borderId="0" xfId="1" applyNumberFormat="1" applyFont="1" applyFill="1"/>
    <xf numFmtId="165" fontId="0" fillId="0" borderId="0" xfId="3" applyNumberFormat="1" applyFont="1"/>
    <xf numFmtId="3" fontId="2" fillId="0" borderId="0" xfId="0" applyNumberFormat="1" applyFont="1"/>
    <xf numFmtId="0" fontId="0" fillId="9" borderId="0" xfId="0" applyFill="1"/>
    <xf numFmtId="165" fontId="2" fillId="0" borderId="0" xfId="1" applyNumberFormat="1" applyFont="1" applyFill="1" applyBorder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166" fontId="0" fillId="0" borderId="0" xfId="0" applyNumberFormat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D395-EE4D-49F7-87C4-C36C6AB0A2C7}">
  <dimension ref="A1:A13"/>
  <sheetViews>
    <sheetView workbookViewId="0"/>
  </sheetViews>
  <sheetFormatPr defaultRowHeight="14.4" x14ac:dyDescent="0.3"/>
  <cols>
    <col min="1" max="1" width="176.109375" style="19" customWidth="1"/>
  </cols>
  <sheetData>
    <row r="1" spans="1:1" ht="23.4" x14ac:dyDescent="0.45">
      <c r="A1" s="18" t="s">
        <v>194</v>
      </c>
    </row>
    <row r="2" spans="1:1" x14ac:dyDescent="0.3">
      <c r="A2" t="s">
        <v>204</v>
      </c>
    </row>
    <row r="3" spans="1:1" x14ac:dyDescent="0.3">
      <c r="A3" s="1" t="s">
        <v>205</v>
      </c>
    </row>
    <row r="4" spans="1:1" x14ac:dyDescent="0.3">
      <c r="A4" t="s">
        <v>206</v>
      </c>
    </row>
    <row r="5" spans="1:1" x14ac:dyDescent="0.3">
      <c r="A5" s="2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1" spans="1:1" x14ac:dyDescent="0.3">
      <c r="A11" s="20"/>
    </row>
    <row r="12" spans="1:1" x14ac:dyDescent="0.3">
      <c r="A12" s="20"/>
    </row>
    <row r="13" spans="1:1" x14ac:dyDescent="0.3">
      <c r="A1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7180-2E3B-44FD-9C9E-39421E545A0D}">
  <dimension ref="A1:AE209"/>
  <sheetViews>
    <sheetView zoomScale="85" zoomScaleNormal="85" workbookViewId="0">
      <pane ySplit="1" topLeftCell="A189" activePane="bottomLeft" state="frozen"/>
      <selection pane="bottomLeft" activeCell="F203" sqref="F203:I203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115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</row>
    <row r="2" spans="1:9" x14ac:dyDescent="0.3">
      <c r="A2" t="s">
        <v>26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3" t="s">
        <v>27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3">
      <c r="A4" s="1" t="s">
        <v>4</v>
      </c>
      <c r="B4" s="9">
        <f>+B2-B3</f>
        <v>14067</v>
      </c>
      <c r="C4" s="9">
        <v>14971</v>
      </c>
      <c r="D4" s="9">
        <f>+D2-D3</f>
        <v>15312</v>
      </c>
      <c r="E4" s="9">
        <f>+E2-E3</f>
        <v>15956</v>
      </c>
      <c r="F4" s="9">
        <v>17474</v>
      </c>
      <c r="G4" s="9">
        <f>+G2-G3</f>
        <v>16241</v>
      </c>
      <c r="H4" s="9">
        <f>+H2-H3</f>
        <v>19962</v>
      </c>
      <c r="I4" s="9">
        <f>+I2-I3</f>
        <v>21479</v>
      </c>
    </row>
    <row r="5" spans="1:9" x14ac:dyDescent="0.3">
      <c r="A5" s="11" t="s">
        <v>20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21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2" t="s">
        <v>22</v>
      </c>
      <c r="B7" s="21">
        <f t="shared" ref="B7:I7" si="1">+B5+B6</f>
        <v>9892</v>
      </c>
      <c r="C7" s="21">
        <f t="shared" si="1"/>
        <v>10469</v>
      </c>
      <c r="D7" s="21">
        <f t="shared" si="1"/>
        <v>10563</v>
      </c>
      <c r="E7" s="21">
        <f t="shared" si="1"/>
        <v>11511</v>
      </c>
      <c r="F7" s="21">
        <f t="shared" si="1"/>
        <v>12702</v>
      </c>
      <c r="G7" s="21">
        <f t="shared" si="1"/>
        <v>13126</v>
      </c>
      <c r="H7" s="21">
        <f t="shared" si="1"/>
        <v>13025</v>
      </c>
      <c r="I7" s="21">
        <f t="shared" si="1"/>
        <v>14804</v>
      </c>
    </row>
    <row r="8" spans="1:9" x14ac:dyDescent="0.3">
      <c r="A8" s="2" t="s">
        <v>23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24</v>
      </c>
      <c r="B10" s="5">
        <f>+B4-B7-B8-B9</f>
        <v>4205</v>
      </c>
      <c r="C10" s="5">
        <f>+C4-C7-C8-C9</f>
        <v>4623</v>
      </c>
      <c r="D10" s="5">
        <v>4886</v>
      </c>
      <c r="E10" s="5">
        <f>+E4-E7-E8-E9</f>
        <v>4325</v>
      </c>
      <c r="F10" s="5">
        <f>+F4-F7-F8-F9</f>
        <v>4801</v>
      </c>
      <c r="G10" s="5">
        <f>+G4-G7-G8-G9</f>
        <v>2887</v>
      </c>
      <c r="H10" s="5">
        <f>+H4-H7-H8-H9</f>
        <v>6661</v>
      </c>
      <c r="I10" s="5">
        <f>+I4-I7-I8-I9</f>
        <v>6651</v>
      </c>
    </row>
    <row r="11" spans="1:9" x14ac:dyDescent="0.3">
      <c r="A11" s="2" t="s">
        <v>25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28</v>
      </c>
      <c r="B12" s="7">
        <f t="shared" ref="B12:I12" si="2">+B10-B11</f>
        <v>3273</v>
      </c>
      <c r="C12" s="7">
        <f t="shared" si="2"/>
        <v>3760</v>
      </c>
      <c r="D12" s="7">
        <f t="shared" si="2"/>
        <v>4240</v>
      </c>
      <c r="E12" s="7">
        <f t="shared" si="2"/>
        <v>1933</v>
      </c>
      <c r="F12" s="7">
        <f t="shared" si="2"/>
        <v>4029</v>
      </c>
      <c r="G12" s="7">
        <f t="shared" si="2"/>
        <v>2539</v>
      </c>
      <c r="H12" s="7">
        <f t="shared" si="2"/>
        <v>5727</v>
      </c>
      <c r="I12" s="7">
        <f t="shared" si="2"/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1591.9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I20" si="3">B15-(B12/B18)</f>
        <v>-4.0705563093612618E-4</v>
      </c>
      <c r="C20" s="13">
        <f t="shared" si="3"/>
        <v>2.1807747489241969E-3</v>
      </c>
      <c r="D20" s="13">
        <f t="shared" si="3"/>
        <v>4.0898345153661531E-3</v>
      </c>
      <c r="E20" s="13">
        <f t="shared" si="3"/>
        <v>4.9104936411306088E-3</v>
      </c>
      <c r="F20" s="13">
        <f t="shared" si="3"/>
        <v>5.0420168067244475E-4</v>
      </c>
      <c r="G20" s="13">
        <f t="shared" si="3"/>
        <v>5.0505685030468594E-3</v>
      </c>
      <c r="H20" s="13">
        <f t="shared" si="3"/>
        <v>1.5310053436063953E-3</v>
      </c>
      <c r="I20" s="13">
        <f t="shared" si="3"/>
        <v>-3.4144524459898129E-3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29</v>
      </c>
    </row>
    <row r="24" spans="1:9" x14ac:dyDescent="0.3">
      <c r="A24" s="10" t="s">
        <v>30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31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32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33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34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35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I30" si="4">+SUM(B25:B29)</f>
        <v>15587</v>
      </c>
      <c r="C30" s="5">
        <f t="shared" si="4"/>
        <v>15025</v>
      </c>
      <c r="D30" s="5">
        <f t="shared" si="4"/>
        <v>16061</v>
      </c>
      <c r="E30" s="5">
        <f t="shared" si="4"/>
        <v>15134</v>
      </c>
      <c r="F30" s="5">
        <f t="shared" si="4"/>
        <v>16525</v>
      </c>
      <c r="G30" s="5">
        <f t="shared" si="4"/>
        <v>20556</v>
      </c>
      <c r="H30" s="5">
        <f t="shared" si="4"/>
        <v>26291</v>
      </c>
      <c r="I30" s="5">
        <f t="shared" si="4"/>
        <v>28213</v>
      </c>
    </row>
    <row r="31" spans="1:9" x14ac:dyDescent="0.3">
      <c r="A31" s="2" t="s">
        <v>36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3">
      <c r="A33" s="2" t="s">
        <v>38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39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40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41</v>
      </c>
      <c r="B36" s="7">
        <f t="shared" ref="B36:I36" si="5">+SUM(B30:B35)</f>
        <v>21597</v>
      </c>
      <c r="C36" s="7">
        <f t="shared" si="5"/>
        <v>21396</v>
      </c>
      <c r="D36" s="7">
        <f t="shared" si="5"/>
        <v>23259</v>
      </c>
      <c r="E36" s="7">
        <f t="shared" si="5"/>
        <v>22536</v>
      </c>
      <c r="F36" s="7">
        <f t="shared" si="5"/>
        <v>23717</v>
      </c>
      <c r="G36" s="7">
        <f t="shared" si="5"/>
        <v>31342</v>
      </c>
      <c r="H36" s="7">
        <f t="shared" si="5"/>
        <v>37740</v>
      </c>
      <c r="I36" s="7">
        <f t="shared" si="5"/>
        <v>40321</v>
      </c>
    </row>
    <row r="37" spans="1:9" ht="15" thickTop="1" x14ac:dyDescent="0.3">
      <c r="A37" s="1" t="s">
        <v>42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43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44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45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47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I45" si="6">+SUM(B39:B44)</f>
        <v>6332</v>
      </c>
      <c r="C45" s="5">
        <f t="shared" si="6"/>
        <v>5358</v>
      </c>
      <c r="D45" s="5">
        <f t="shared" si="6"/>
        <v>5474</v>
      </c>
      <c r="E45" s="5">
        <f t="shared" si="6"/>
        <v>6040</v>
      </c>
      <c r="F45" s="5">
        <f t="shared" si="6"/>
        <v>7866</v>
      </c>
      <c r="G45" s="5">
        <f t="shared" si="6"/>
        <v>8284</v>
      </c>
      <c r="H45" s="5">
        <f t="shared" si="6"/>
        <v>9674</v>
      </c>
      <c r="I45" s="5">
        <f t="shared" si="6"/>
        <v>10730</v>
      </c>
    </row>
    <row r="46" spans="1:9" x14ac:dyDescent="0.3">
      <c r="A46" s="2" t="s">
        <v>48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49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3">
      <c r="A48" s="2" t="s">
        <v>50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51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52</v>
      </c>
      <c r="B50" s="3" t="s">
        <v>141</v>
      </c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53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54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55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7" t="s">
        <v>56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57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58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59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60</v>
      </c>
      <c r="B58" s="5">
        <f t="shared" ref="B58:I58" si="7">+SUM(B53:B57)</f>
        <v>12707</v>
      </c>
      <c r="C58" s="5">
        <f t="shared" si="7"/>
        <v>12258</v>
      </c>
      <c r="D58" s="5">
        <f>+SUM(D53:D57)</f>
        <v>12407</v>
      </c>
      <c r="E58" s="5">
        <f t="shared" si="7"/>
        <v>9812</v>
      </c>
      <c r="F58" s="5">
        <f t="shared" si="7"/>
        <v>9040</v>
      </c>
      <c r="G58" s="5">
        <f t="shared" si="7"/>
        <v>8055</v>
      </c>
      <c r="H58" s="5">
        <f t="shared" si="7"/>
        <v>12767</v>
      </c>
      <c r="I58" s="5">
        <f t="shared" si="7"/>
        <v>15281</v>
      </c>
    </row>
    <row r="59" spans="1:9" ht="15" thickBot="1" x14ac:dyDescent="0.35">
      <c r="A59" s="6" t="s">
        <v>61</v>
      </c>
      <c r="B59" s="7">
        <f t="shared" ref="B59:I59" si="8">+SUM(B45:B50)+B58</f>
        <v>21597</v>
      </c>
      <c r="C59" s="7">
        <f t="shared" si="8"/>
        <v>21396</v>
      </c>
      <c r="D59" s="7">
        <f>+SUM(D45:D50)+D58</f>
        <v>23259</v>
      </c>
      <c r="E59" s="7">
        <f t="shared" si="8"/>
        <v>22536</v>
      </c>
      <c r="F59" s="7">
        <f t="shared" si="8"/>
        <v>23717</v>
      </c>
      <c r="G59" s="7">
        <f t="shared" si="8"/>
        <v>31342</v>
      </c>
      <c r="H59" s="7">
        <f t="shared" si="8"/>
        <v>37740</v>
      </c>
      <c r="I59" s="7">
        <f t="shared" si="8"/>
        <v>40321</v>
      </c>
    </row>
    <row r="60" spans="1:9" s="12" customFormat="1" ht="15" thickTop="1" x14ac:dyDescent="0.3">
      <c r="A60" s="12" t="s">
        <v>3</v>
      </c>
      <c r="B60" s="13">
        <f>B59-B36</f>
        <v>0</v>
      </c>
      <c r="C60" s="13">
        <f t="shared" ref="C60:I60" si="9">+C59-C36</f>
        <v>0</v>
      </c>
      <c r="D60" s="13">
        <f t="shared" si="9"/>
        <v>0</v>
      </c>
      <c r="E60" s="13">
        <f t="shared" si="9"/>
        <v>0</v>
      </c>
      <c r="F60" s="13">
        <f t="shared" si="9"/>
        <v>0</v>
      </c>
      <c r="G60" s="13">
        <f t="shared" si="9"/>
        <v>0</v>
      </c>
      <c r="H60" s="13">
        <f t="shared" si="9"/>
        <v>0</v>
      </c>
      <c r="I60" s="13">
        <f t="shared" si="9"/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62</v>
      </c>
    </row>
    <row r="64" spans="1:9" s="1" customFormat="1" x14ac:dyDescent="0.3">
      <c r="A64" s="10" t="s">
        <v>63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31" s="1" customFormat="1" x14ac:dyDescent="0.3">
      <c r="A65" s="2" t="s">
        <v>64</v>
      </c>
      <c r="B65" s="3"/>
      <c r="C65" s="3"/>
      <c r="D65" s="3"/>
      <c r="E65" s="3"/>
      <c r="F65" s="3"/>
      <c r="G65" s="3"/>
      <c r="H65" s="3"/>
      <c r="I65" s="3"/>
    </row>
    <row r="66" spans="1:31" x14ac:dyDescent="0.3">
      <c r="A66" s="11" t="s">
        <v>65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31" x14ac:dyDescent="0.3">
      <c r="A67" s="11" t="s">
        <v>66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31" x14ac:dyDescent="0.3">
      <c r="A68" s="11" t="s">
        <v>67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31" x14ac:dyDescent="0.3">
      <c r="A69" s="11" t="s">
        <v>68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31" x14ac:dyDescent="0.3">
      <c r="A70" s="11" t="s">
        <v>69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31" x14ac:dyDescent="0.3">
      <c r="A71" s="2" t="s">
        <v>70</v>
      </c>
      <c r="B71" s="3"/>
      <c r="C71" s="3"/>
      <c r="D71" s="3"/>
      <c r="E71" s="3"/>
      <c r="F71" s="3"/>
      <c r="G71" s="3"/>
      <c r="H71" s="3"/>
      <c r="I71" s="3"/>
    </row>
    <row r="72" spans="1:31" x14ac:dyDescent="0.3">
      <c r="A72" s="11" t="s">
        <v>71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 x14ac:dyDescent="0.3">
      <c r="A73" s="11" t="s">
        <v>72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31" x14ac:dyDescent="0.3">
      <c r="A74" s="11" t="s">
        <v>97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  <c r="K74" s="61"/>
    </row>
    <row r="75" spans="1:31" x14ac:dyDescent="0.3">
      <c r="A75" s="11" t="s">
        <v>96</v>
      </c>
      <c r="B75" s="3">
        <v>1237</v>
      </c>
      <c r="C75" s="3">
        <v>-889</v>
      </c>
      <c r="D75" s="3">
        <v>-364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31" x14ac:dyDescent="0.3">
      <c r="A76" s="25" t="s">
        <v>73</v>
      </c>
      <c r="B76" s="26">
        <f t="shared" ref="B76:I76" si="10">+SUM(B64:B75)</f>
        <v>4680</v>
      </c>
      <c r="C76" s="26">
        <f t="shared" si="10"/>
        <v>3096</v>
      </c>
      <c r="D76" s="26">
        <f t="shared" si="10"/>
        <v>3640</v>
      </c>
      <c r="E76" s="26">
        <f t="shared" si="10"/>
        <v>4955</v>
      </c>
      <c r="F76" s="26">
        <f t="shared" si="10"/>
        <v>5903</v>
      </c>
      <c r="G76" s="26">
        <f t="shared" si="10"/>
        <v>2485</v>
      </c>
      <c r="H76" s="26">
        <f t="shared" si="10"/>
        <v>6657</v>
      </c>
      <c r="I76" s="26">
        <f t="shared" si="10"/>
        <v>5188</v>
      </c>
    </row>
    <row r="77" spans="1:31" x14ac:dyDescent="0.3">
      <c r="A77" s="1" t="s">
        <v>74</v>
      </c>
      <c r="B77" s="3"/>
      <c r="C77" s="3"/>
      <c r="D77" s="3"/>
      <c r="E77" s="3"/>
      <c r="F77" s="3"/>
      <c r="G77" s="3"/>
      <c r="H77" s="3"/>
      <c r="I77" s="3"/>
    </row>
    <row r="78" spans="1:31" x14ac:dyDescent="0.3">
      <c r="A78" s="2" t="s">
        <v>75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  <c r="J78" s="61"/>
      <c r="L78" s="61">
        <f>SUM(F78:F84)</f>
        <v>-264</v>
      </c>
    </row>
    <row r="79" spans="1:31" x14ac:dyDescent="0.3">
      <c r="A79" s="2" t="s">
        <v>76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31" x14ac:dyDescent="0.3">
      <c r="A80" s="2" t="s">
        <v>202</v>
      </c>
      <c r="B80" s="3">
        <v>-150</v>
      </c>
      <c r="C80" s="3">
        <v>150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1:9" x14ac:dyDescent="0.3">
      <c r="A81" s="2" t="s">
        <v>77</v>
      </c>
      <c r="B81" s="3">
        <v>2216</v>
      </c>
      <c r="C81" s="3">
        <v>2386</v>
      </c>
      <c r="D81" s="3">
        <v>2423</v>
      </c>
      <c r="E81" s="3">
        <v>2496</v>
      </c>
      <c r="F81" s="3">
        <v>2072</v>
      </c>
      <c r="G81" s="3">
        <v>2379</v>
      </c>
      <c r="H81" s="3">
        <v>2449</v>
      </c>
      <c r="I81" s="3">
        <v>3967</v>
      </c>
    </row>
    <row r="82" spans="1:9" x14ac:dyDescent="0.3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x14ac:dyDescent="0.3">
      <c r="A83" s="2" t="s">
        <v>203</v>
      </c>
      <c r="B83" s="3">
        <v>3</v>
      </c>
      <c r="C83" s="3">
        <v>10</v>
      </c>
      <c r="D83" s="3">
        <v>13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</row>
    <row r="84" spans="1:9" x14ac:dyDescent="0.3">
      <c r="A84" s="2" t="s">
        <v>78</v>
      </c>
      <c r="B84" s="3">
        <v>0</v>
      </c>
      <c r="C84" s="3">
        <v>6</v>
      </c>
      <c r="D84" s="3">
        <v>-34</v>
      </c>
      <c r="E84" s="3">
        <v>-22</v>
      </c>
      <c r="F84" s="3">
        <v>5</v>
      </c>
      <c r="G84" s="3">
        <v>31</v>
      </c>
      <c r="H84" s="3">
        <v>171</v>
      </c>
      <c r="I84" s="3">
        <v>-19</v>
      </c>
    </row>
    <row r="85" spans="1:9" x14ac:dyDescent="0.3">
      <c r="A85" s="27" t="s">
        <v>79</v>
      </c>
      <c r="B85" s="26">
        <f>+SUM(B78:B84)</f>
        <v>-175</v>
      </c>
      <c r="C85" s="26">
        <f>+SUM(C78:C84)</f>
        <v>-1034</v>
      </c>
      <c r="D85" s="26">
        <f t="shared" ref="D85:I85" si="11">+SUM(D78:D84)</f>
        <v>-1008</v>
      </c>
      <c r="E85" s="26">
        <f t="shared" si="11"/>
        <v>276</v>
      </c>
      <c r="F85" s="26">
        <f>+SUM(F78:F84)</f>
        <v>-264</v>
      </c>
      <c r="G85" s="26">
        <f t="shared" si="11"/>
        <v>-1028</v>
      </c>
      <c r="H85" s="26">
        <f t="shared" si="11"/>
        <v>-3800</v>
      </c>
      <c r="I85" s="26">
        <f t="shared" si="11"/>
        <v>-1524</v>
      </c>
    </row>
    <row r="86" spans="1:9" x14ac:dyDescent="0.3">
      <c r="A86" s="1" t="s">
        <v>80</v>
      </c>
      <c r="B86" s="3"/>
      <c r="C86" s="3"/>
      <c r="D86" s="3"/>
      <c r="E86" s="3"/>
      <c r="F86" s="3"/>
      <c r="G86" s="3"/>
      <c r="H86" s="3"/>
      <c r="I86" s="3"/>
    </row>
    <row r="87" spans="1:9" x14ac:dyDescent="0.3">
      <c r="A87" s="2" t="s">
        <v>81</v>
      </c>
      <c r="B87" s="3">
        <v>0</v>
      </c>
      <c r="C87" s="3">
        <v>981</v>
      </c>
      <c r="D87" s="3">
        <v>1482</v>
      </c>
      <c r="E87" s="3">
        <v>0</v>
      </c>
      <c r="F87" s="3"/>
      <c r="G87" s="3">
        <v>6134</v>
      </c>
      <c r="H87" s="3">
        <v>0</v>
      </c>
      <c r="I87" s="3">
        <v>0</v>
      </c>
    </row>
    <row r="88" spans="1:9" x14ac:dyDescent="0.3">
      <c r="A88" s="2" t="s">
        <v>200</v>
      </c>
      <c r="B88" s="3">
        <v>-7</v>
      </c>
      <c r="C88" s="3">
        <v>-106</v>
      </c>
      <c r="D88" s="3">
        <v>-44</v>
      </c>
      <c r="E88" s="3"/>
      <c r="F88" s="3"/>
      <c r="G88" s="3"/>
      <c r="H88" s="3"/>
      <c r="I88" s="3"/>
    </row>
    <row r="89" spans="1:9" x14ac:dyDescent="0.3">
      <c r="A89" s="2" t="s">
        <v>82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x14ac:dyDescent="0.3">
      <c r="A90" s="2" t="s">
        <v>83</v>
      </c>
      <c r="B90" s="3">
        <v>-19</v>
      </c>
      <c r="C90" s="3">
        <v>-7</v>
      </c>
      <c r="D90" s="3">
        <v>-17</v>
      </c>
      <c r="E90" s="3"/>
      <c r="F90" s="3"/>
      <c r="G90" s="3"/>
      <c r="H90" s="3">
        <v>-197</v>
      </c>
      <c r="I90" s="3">
        <v>0</v>
      </c>
    </row>
    <row r="91" spans="1:9" x14ac:dyDescent="0.3">
      <c r="A91" s="2" t="s">
        <v>84</v>
      </c>
      <c r="B91" s="3">
        <v>514</v>
      </c>
      <c r="C91" s="3">
        <v>507</v>
      </c>
      <c r="D91" s="3">
        <v>489</v>
      </c>
      <c r="E91" s="3">
        <v>733</v>
      </c>
      <c r="F91" s="3">
        <v>700</v>
      </c>
      <c r="G91" s="3">
        <v>885</v>
      </c>
      <c r="H91" s="3">
        <v>1172</v>
      </c>
      <c r="I91" s="3">
        <v>1151</v>
      </c>
    </row>
    <row r="92" spans="1:9" x14ac:dyDescent="0.3">
      <c r="A92" s="2" t="s">
        <v>201</v>
      </c>
      <c r="B92" s="3">
        <v>218</v>
      </c>
      <c r="C92" s="3">
        <v>281</v>
      </c>
      <c r="D92" s="3">
        <v>177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</row>
    <row r="93" spans="1:9" x14ac:dyDescent="0.3">
      <c r="A93" s="2" t="s">
        <v>16</v>
      </c>
      <c r="B93" s="3">
        <v>-2534</v>
      </c>
      <c r="C93" s="3">
        <v>-3238</v>
      </c>
      <c r="D93" s="3">
        <v>-3223</v>
      </c>
      <c r="E93" s="3">
        <v>-4254</v>
      </c>
      <c r="F93" s="3">
        <v>-4286</v>
      </c>
      <c r="G93" s="3">
        <v>-3067</v>
      </c>
      <c r="H93" s="3">
        <v>-608</v>
      </c>
      <c r="I93" s="3">
        <v>-4014</v>
      </c>
    </row>
    <row r="94" spans="1:9" x14ac:dyDescent="0.3">
      <c r="A94" s="2" t="s">
        <v>85</v>
      </c>
      <c r="B94" s="3">
        <v>-899</v>
      </c>
      <c r="C94" s="3">
        <v>-1022</v>
      </c>
      <c r="D94" s="3">
        <v>-1133</v>
      </c>
      <c r="E94" s="3">
        <v>-1243</v>
      </c>
      <c r="F94" s="3">
        <v>-1332</v>
      </c>
      <c r="G94" s="3">
        <v>-1452</v>
      </c>
      <c r="H94" s="3">
        <v>-1638</v>
      </c>
      <c r="I94" s="3">
        <v>-1837</v>
      </c>
    </row>
    <row r="95" spans="1:9" x14ac:dyDescent="0.3">
      <c r="A95" s="2" t="s">
        <v>86</v>
      </c>
      <c r="B95" s="3">
        <v>0</v>
      </c>
      <c r="C95" s="3"/>
      <c r="D95" s="3"/>
      <c r="E95" s="3">
        <v>-84</v>
      </c>
      <c r="F95" s="3">
        <v>-50</v>
      </c>
      <c r="G95" s="3">
        <v>-58</v>
      </c>
      <c r="H95" s="3">
        <v>-136</v>
      </c>
      <c r="I95" s="3">
        <v>-151</v>
      </c>
    </row>
    <row r="96" spans="1:9" x14ac:dyDescent="0.3">
      <c r="A96" s="27" t="s">
        <v>87</v>
      </c>
      <c r="B96" s="26">
        <f>+SUM(B87:B95)</f>
        <v>-2790</v>
      </c>
      <c r="C96" s="26">
        <f>+SUM(C87:C95)</f>
        <v>-2671</v>
      </c>
      <c r="D96" s="26">
        <f t="shared" ref="D96:I96" si="12">+SUM(D87:D95)</f>
        <v>-1942</v>
      </c>
      <c r="E96" s="26">
        <f t="shared" si="12"/>
        <v>-4835</v>
      </c>
      <c r="F96" s="26">
        <f t="shared" si="12"/>
        <v>-5293</v>
      </c>
      <c r="G96" s="26">
        <f>+SUM(G87:G95)</f>
        <v>2491</v>
      </c>
      <c r="H96" s="26">
        <f t="shared" si="12"/>
        <v>-1459</v>
      </c>
      <c r="I96" s="26">
        <f t="shared" si="12"/>
        <v>-4836</v>
      </c>
    </row>
    <row r="97" spans="1:9" x14ac:dyDescent="0.3">
      <c r="A97" s="2" t="s">
        <v>88</v>
      </c>
      <c r="B97" s="3">
        <v>-83</v>
      </c>
      <c r="C97" s="3">
        <v>-105</v>
      </c>
      <c r="D97" s="3">
        <v>-20</v>
      </c>
      <c r="E97" s="3">
        <v>45</v>
      </c>
      <c r="F97" s="3">
        <v>-129</v>
      </c>
      <c r="G97" s="3">
        <v>-66</v>
      </c>
      <c r="H97" s="3">
        <v>143</v>
      </c>
      <c r="I97" s="3">
        <v>-143</v>
      </c>
    </row>
    <row r="98" spans="1:9" x14ac:dyDescent="0.3">
      <c r="A98" s="27" t="s">
        <v>89</v>
      </c>
      <c r="B98" s="26">
        <f>+B76+B85+B96+B97</f>
        <v>1632</v>
      </c>
      <c r="C98" s="26">
        <f>+C76+C85+C96+C97</f>
        <v>-714</v>
      </c>
      <c r="D98" s="26">
        <f>+D76+D85+D96+D97</f>
        <v>670</v>
      </c>
      <c r="E98" s="26">
        <f>+E76+E85+E96+E97</f>
        <v>441</v>
      </c>
      <c r="F98" s="26">
        <v>217</v>
      </c>
      <c r="G98" s="26">
        <f>+G76+G85+G96+G97</f>
        <v>3882</v>
      </c>
      <c r="H98" s="26">
        <f>+H76+H85+H96+H97</f>
        <v>1541</v>
      </c>
      <c r="I98" s="26">
        <f>+I76+I85+I96+I97</f>
        <v>-1315</v>
      </c>
    </row>
    <row r="99" spans="1:9" x14ac:dyDescent="0.3">
      <c r="A99" t="s">
        <v>90</v>
      </c>
      <c r="B99" s="3">
        <v>2220</v>
      </c>
      <c r="C99" s="3">
        <v>3852</v>
      </c>
      <c r="D99" s="3">
        <v>3138</v>
      </c>
      <c r="E99" s="3">
        <v>3808</v>
      </c>
      <c r="F99" s="3">
        <v>4249</v>
      </c>
      <c r="G99" s="3">
        <v>4466</v>
      </c>
      <c r="H99" s="3">
        <v>8348</v>
      </c>
      <c r="I99" s="3">
        <f>+H100</f>
        <v>9889</v>
      </c>
    </row>
    <row r="100" spans="1:9" ht="15" thickBot="1" x14ac:dyDescent="0.35">
      <c r="A100" s="6" t="s">
        <v>91</v>
      </c>
      <c r="B100" s="7">
        <f t="shared" ref="B100:I100" si="13">+B98+B99</f>
        <v>3852</v>
      </c>
      <c r="C100" s="7">
        <f t="shared" si="13"/>
        <v>3138</v>
      </c>
      <c r="D100" s="7">
        <f t="shared" si="13"/>
        <v>3808</v>
      </c>
      <c r="E100" s="7">
        <f t="shared" si="13"/>
        <v>4249</v>
      </c>
      <c r="F100" s="7">
        <f t="shared" si="13"/>
        <v>4466</v>
      </c>
      <c r="G100" s="7">
        <f>+G98+G99</f>
        <v>8348</v>
      </c>
      <c r="H100" s="7">
        <f t="shared" si="13"/>
        <v>9889</v>
      </c>
      <c r="I100" s="7">
        <f t="shared" si="13"/>
        <v>8574</v>
      </c>
    </row>
    <row r="101" spans="1:9" s="12" customFormat="1" ht="15" thickTop="1" x14ac:dyDescent="0.3">
      <c r="A101" s="12" t="s">
        <v>19</v>
      </c>
      <c r="B101" s="13">
        <f t="shared" ref="B101:I101" si="14">+B100-B25</f>
        <v>0</v>
      </c>
      <c r="C101" s="13">
        <f t="shared" si="14"/>
        <v>0</v>
      </c>
      <c r="D101" s="13">
        <f t="shared" si="14"/>
        <v>0</v>
      </c>
      <c r="E101" s="13">
        <f t="shared" si="14"/>
        <v>0</v>
      </c>
      <c r="F101" s="13">
        <f t="shared" si="14"/>
        <v>0</v>
      </c>
      <c r="G101" s="13">
        <f t="shared" si="14"/>
        <v>0</v>
      </c>
      <c r="H101" s="13">
        <f t="shared" si="14"/>
        <v>0</v>
      </c>
      <c r="I101" s="13">
        <f t="shared" si="14"/>
        <v>0</v>
      </c>
    </row>
    <row r="102" spans="1:9" x14ac:dyDescent="0.3">
      <c r="A102" t="s">
        <v>92</v>
      </c>
      <c r="B102" s="3"/>
      <c r="C102" s="3"/>
      <c r="D102" s="3"/>
      <c r="E102" s="3"/>
      <c r="F102" s="3"/>
      <c r="G102" s="3"/>
      <c r="H102" s="3"/>
      <c r="I102" s="3"/>
    </row>
    <row r="103" spans="1:9" x14ac:dyDescent="0.3">
      <c r="A103" s="2" t="s">
        <v>17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3">
      <c r="A104" s="11" t="s">
        <v>93</v>
      </c>
      <c r="B104" s="3">
        <v>53</v>
      </c>
      <c r="C104" s="3">
        <v>70</v>
      </c>
      <c r="D104" s="3">
        <v>98</v>
      </c>
      <c r="E104" s="3">
        <v>125</v>
      </c>
      <c r="F104" s="3">
        <v>153</v>
      </c>
      <c r="G104" s="3">
        <v>140</v>
      </c>
      <c r="H104" s="3">
        <v>293</v>
      </c>
      <c r="I104" s="3">
        <v>290</v>
      </c>
    </row>
    <row r="105" spans="1:9" x14ac:dyDescent="0.3">
      <c r="A105" s="11" t="s">
        <v>18</v>
      </c>
      <c r="B105" s="3">
        <v>1262</v>
      </c>
      <c r="C105" s="3">
        <v>748</v>
      </c>
      <c r="D105" s="3">
        <v>703</v>
      </c>
      <c r="E105" s="3">
        <v>529</v>
      </c>
      <c r="F105" s="3">
        <v>757</v>
      </c>
      <c r="G105" s="3">
        <v>1028</v>
      </c>
      <c r="H105" s="3">
        <v>1177</v>
      </c>
      <c r="I105" s="3">
        <v>1231</v>
      </c>
    </row>
    <row r="106" spans="1:9" x14ac:dyDescent="0.3">
      <c r="A106" s="11" t="s">
        <v>94</v>
      </c>
      <c r="B106" s="3">
        <v>206</v>
      </c>
      <c r="C106" s="3">
        <v>252</v>
      </c>
      <c r="D106" s="3">
        <v>266</v>
      </c>
      <c r="E106" s="3">
        <v>294</v>
      </c>
      <c r="F106" s="3">
        <v>160</v>
      </c>
      <c r="G106" s="3">
        <v>121</v>
      </c>
      <c r="H106" s="3">
        <v>179</v>
      </c>
      <c r="I106" s="3">
        <v>160</v>
      </c>
    </row>
    <row r="107" spans="1:9" x14ac:dyDescent="0.3">
      <c r="A107" s="11" t="s">
        <v>95</v>
      </c>
      <c r="B107" s="3">
        <v>240</v>
      </c>
      <c r="C107" s="3">
        <v>271</v>
      </c>
      <c r="D107" s="3">
        <v>300</v>
      </c>
      <c r="E107" s="3">
        <v>320</v>
      </c>
      <c r="F107" s="3">
        <v>347</v>
      </c>
      <c r="G107" s="3">
        <v>385</v>
      </c>
      <c r="H107" s="3">
        <v>438</v>
      </c>
      <c r="I107" s="3">
        <v>480</v>
      </c>
    </row>
    <row r="109" spans="1:9" x14ac:dyDescent="0.3">
      <c r="A109" s="14" t="s">
        <v>98</v>
      </c>
      <c r="B109" s="14"/>
      <c r="C109" s="14"/>
      <c r="D109" s="14"/>
      <c r="E109" s="14"/>
      <c r="F109" s="14"/>
      <c r="G109" s="14"/>
      <c r="H109" s="14"/>
      <c r="I109" s="14"/>
    </row>
    <row r="110" spans="1:9" x14ac:dyDescent="0.3">
      <c r="A110" s="28" t="s">
        <v>108</v>
      </c>
      <c r="B110" s="3"/>
      <c r="C110" s="3"/>
      <c r="D110" s="3"/>
      <c r="E110" s="3"/>
      <c r="F110" s="3"/>
      <c r="G110" s="3"/>
      <c r="H110" s="3"/>
      <c r="I110" s="3"/>
    </row>
    <row r="111" spans="1:9" x14ac:dyDescent="0.3">
      <c r="A111" s="10" t="s">
        <v>99</v>
      </c>
      <c r="B111" s="9">
        <f t="shared" ref="B111:I111" si="15">+SUM(B112:B114)</f>
        <v>13740</v>
      </c>
      <c r="C111" s="9">
        <f t="shared" si="15"/>
        <v>14764</v>
      </c>
      <c r="D111" s="9">
        <f t="shared" si="15"/>
        <v>15216</v>
      </c>
      <c r="E111" s="9">
        <f t="shared" si="15"/>
        <v>14855</v>
      </c>
      <c r="F111" s="9">
        <f t="shared" si="15"/>
        <v>15902</v>
      </c>
      <c r="G111" s="9">
        <f t="shared" si="15"/>
        <v>14484</v>
      </c>
      <c r="H111" s="9">
        <f t="shared" si="15"/>
        <v>17179</v>
      </c>
      <c r="I111" s="9">
        <f t="shared" si="15"/>
        <v>18353</v>
      </c>
    </row>
    <row r="112" spans="1:9" x14ac:dyDescent="0.3">
      <c r="A112" s="11" t="s">
        <v>112</v>
      </c>
      <c r="B112" s="3">
        <v>8506</v>
      </c>
      <c r="C112" s="3">
        <v>9299</v>
      </c>
      <c r="D112" s="3">
        <v>9684</v>
      </c>
      <c r="E112" s="3">
        <v>9322</v>
      </c>
      <c r="F112" s="3">
        <v>10045</v>
      </c>
      <c r="G112" s="3">
        <v>9329</v>
      </c>
      <c r="H112" s="8">
        <v>11644</v>
      </c>
      <c r="I112" s="8">
        <v>12228</v>
      </c>
    </row>
    <row r="113" spans="1:9" x14ac:dyDescent="0.3">
      <c r="A113" s="11" t="s">
        <v>113</v>
      </c>
      <c r="B113" s="3">
        <v>4410</v>
      </c>
      <c r="C113" s="3">
        <v>4746</v>
      </c>
      <c r="D113" s="3">
        <v>4886</v>
      </c>
      <c r="E113" s="3">
        <v>4938</v>
      </c>
      <c r="F113" s="3">
        <v>5260</v>
      </c>
      <c r="G113" s="3">
        <v>4639</v>
      </c>
      <c r="H113" s="8">
        <v>5028</v>
      </c>
      <c r="I113" s="8">
        <v>5492</v>
      </c>
    </row>
    <row r="114" spans="1:9" x14ac:dyDescent="0.3">
      <c r="A114" s="11" t="s">
        <v>114</v>
      </c>
      <c r="B114" s="3">
        <v>824</v>
      </c>
      <c r="C114" s="3">
        <v>719</v>
      </c>
      <c r="D114" s="3">
        <v>646</v>
      </c>
      <c r="E114" s="3">
        <v>595</v>
      </c>
      <c r="F114" s="3">
        <v>597</v>
      </c>
      <c r="G114" s="3">
        <v>516</v>
      </c>
      <c r="H114">
        <v>507</v>
      </c>
      <c r="I114">
        <v>633</v>
      </c>
    </row>
    <row r="115" spans="1:9" x14ac:dyDescent="0.3">
      <c r="A115" s="10" t="s">
        <v>100</v>
      </c>
      <c r="B115" s="9">
        <f t="shared" ref="B115:I115" si="16">+SUM(B116:B118)</f>
        <v>11779</v>
      </c>
      <c r="C115" s="9">
        <f t="shared" si="16"/>
        <v>11885</v>
      </c>
      <c r="D115" s="9">
        <f t="shared" si="16"/>
        <v>7970</v>
      </c>
      <c r="E115" s="9">
        <f t="shared" si="16"/>
        <v>9242</v>
      </c>
      <c r="F115" s="9">
        <f t="shared" si="16"/>
        <v>9812</v>
      </c>
      <c r="G115" s="9">
        <f t="shared" si="16"/>
        <v>9347</v>
      </c>
      <c r="H115" s="9">
        <f t="shared" si="16"/>
        <v>11456</v>
      </c>
      <c r="I115" s="9">
        <f t="shared" si="16"/>
        <v>12479</v>
      </c>
    </row>
    <row r="116" spans="1:9" x14ac:dyDescent="0.3">
      <c r="A116" s="11" t="s">
        <v>112</v>
      </c>
      <c r="B116" s="3">
        <v>7796</v>
      </c>
      <c r="C116" s="3">
        <v>7973</v>
      </c>
      <c r="D116" s="3">
        <v>5192</v>
      </c>
      <c r="E116" s="3">
        <v>5875</v>
      </c>
      <c r="F116" s="3">
        <v>6293</v>
      </c>
      <c r="G116" s="3">
        <v>5892</v>
      </c>
      <c r="H116" s="8">
        <v>6970</v>
      </c>
      <c r="I116" s="8">
        <v>7388</v>
      </c>
    </row>
    <row r="117" spans="1:9" x14ac:dyDescent="0.3">
      <c r="A117" s="11" t="s">
        <v>113</v>
      </c>
      <c r="B117" s="3">
        <v>3302</v>
      </c>
      <c r="C117" s="3">
        <v>3266</v>
      </c>
      <c r="D117" s="3">
        <v>2395</v>
      </c>
      <c r="E117" s="3">
        <v>2940</v>
      </c>
      <c r="F117" s="3">
        <v>3087</v>
      </c>
      <c r="G117" s="3">
        <v>3053</v>
      </c>
      <c r="H117" s="8">
        <v>3996</v>
      </c>
      <c r="I117" s="8">
        <v>4527</v>
      </c>
    </row>
    <row r="118" spans="1:9" x14ac:dyDescent="0.3">
      <c r="A118" s="11" t="s">
        <v>114</v>
      </c>
      <c r="B118" s="3">
        <v>681</v>
      </c>
      <c r="C118" s="3">
        <v>646</v>
      </c>
      <c r="D118">
        <v>383</v>
      </c>
      <c r="E118">
        <v>427</v>
      </c>
      <c r="F118">
        <v>432</v>
      </c>
      <c r="G118">
        <v>402</v>
      </c>
      <c r="H118">
        <v>490</v>
      </c>
      <c r="I118">
        <v>564</v>
      </c>
    </row>
    <row r="119" spans="1:9" x14ac:dyDescent="0.3">
      <c r="A119" s="10" t="s">
        <v>101</v>
      </c>
      <c r="B119" s="9">
        <f t="shared" ref="B119:I119" si="17">+SUM(B120:B122)</f>
        <v>3067</v>
      </c>
      <c r="C119" s="9">
        <f t="shared" si="17"/>
        <v>3785</v>
      </c>
      <c r="D119" s="9">
        <f t="shared" si="17"/>
        <v>4237</v>
      </c>
      <c r="E119" s="9">
        <f t="shared" si="17"/>
        <v>5134</v>
      </c>
      <c r="F119" s="9">
        <f t="shared" si="17"/>
        <v>6208</v>
      </c>
      <c r="G119" s="9">
        <f t="shared" si="17"/>
        <v>6679</v>
      </c>
      <c r="H119" s="9">
        <f t="shared" si="17"/>
        <v>8290</v>
      </c>
      <c r="I119" s="9">
        <f t="shared" si="17"/>
        <v>7547</v>
      </c>
    </row>
    <row r="120" spans="1:9" x14ac:dyDescent="0.3">
      <c r="A120" s="11" t="s">
        <v>112</v>
      </c>
      <c r="B120" s="3">
        <v>2016</v>
      </c>
      <c r="C120" s="3">
        <v>2599</v>
      </c>
      <c r="D120" s="3">
        <v>2920</v>
      </c>
      <c r="E120" s="3">
        <v>3496</v>
      </c>
      <c r="F120" s="3">
        <v>4262</v>
      </c>
      <c r="G120" s="3">
        <v>4635</v>
      </c>
      <c r="H120" s="8">
        <v>5748</v>
      </c>
      <c r="I120" s="8">
        <v>5416</v>
      </c>
    </row>
    <row r="121" spans="1:9" x14ac:dyDescent="0.3">
      <c r="A121" s="11" t="s">
        <v>113</v>
      </c>
      <c r="B121">
        <v>925</v>
      </c>
      <c r="C121">
        <v>1055</v>
      </c>
      <c r="D121">
        <v>1188</v>
      </c>
      <c r="E121">
        <v>1508</v>
      </c>
      <c r="F121">
        <v>1808</v>
      </c>
      <c r="G121">
        <v>1896</v>
      </c>
      <c r="H121" s="8">
        <v>2347</v>
      </c>
      <c r="I121" s="8">
        <v>1938</v>
      </c>
    </row>
    <row r="122" spans="1:9" x14ac:dyDescent="0.3">
      <c r="A122" s="11" t="s">
        <v>114</v>
      </c>
      <c r="B122">
        <v>126</v>
      </c>
      <c r="C122">
        <v>131</v>
      </c>
      <c r="D122">
        <v>129</v>
      </c>
      <c r="E122">
        <v>130</v>
      </c>
      <c r="F122">
        <v>138</v>
      </c>
      <c r="G122">
        <v>148</v>
      </c>
      <c r="H122">
        <v>195</v>
      </c>
      <c r="I122">
        <v>193</v>
      </c>
    </row>
    <row r="123" spans="1:9" x14ac:dyDescent="0.3">
      <c r="A123" s="10" t="s">
        <v>105</v>
      </c>
      <c r="B123" s="9">
        <f t="shared" ref="B123:I123" si="18">+SUM(B124:B126)</f>
        <v>0</v>
      </c>
      <c r="C123" s="9">
        <f t="shared" si="18"/>
        <v>0</v>
      </c>
      <c r="D123" s="9">
        <f t="shared" si="18"/>
        <v>4737</v>
      </c>
      <c r="E123" s="9">
        <f t="shared" si="18"/>
        <v>5166</v>
      </c>
      <c r="F123" s="9">
        <f t="shared" si="18"/>
        <v>5254</v>
      </c>
      <c r="G123" s="9">
        <f t="shared" si="18"/>
        <v>5028</v>
      </c>
      <c r="H123" s="9">
        <f t="shared" si="18"/>
        <v>5343</v>
      </c>
      <c r="I123" s="9">
        <f t="shared" si="18"/>
        <v>5955</v>
      </c>
    </row>
    <row r="124" spans="1:9" x14ac:dyDescent="0.3">
      <c r="A124" s="11" t="s">
        <v>112</v>
      </c>
      <c r="B124" s="3">
        <v>0</v>
      </c>
      <c r="C124" s="3">
        <v>0</v>
      </c>
      <c r="D124">
        <v>3285</v>
      </c>
      <c r="E124">
        <v>3575</v>
      </c>
      <c r="F124">
        <v>3622</v>
      </c>
      <c r="G124">
        <v>3449</v>
      </c>
      <c r="H124" s="8">
        <v>3659</v>
      </c>
      <c r="I124" s="8">
        <v>4111</v>
      </c>
    </row>
    <row r="125" spans="1:9" x14ac:dyDescent="0.3">
      <c r="A125" s="11" t="s">
        <v>113</v>
      </c>
      <c r="B125" s="3">
        <v>0</v>
      </c>
      <c r="C125" s="3">
        <v>0</v>
      </c>
      <c r="D125">
        <v>1185</v>
      </c>
      <c r="E125">
        <v>1347</v>
      </c>
      <c r="F125">
        <v>1395</v>
      </c>
      <c r="G125">
        <v>1365</v>
      </c>
      <c r="H125" s="8">
        <v>1494</v>
      </c>
      <c r="I125" s="8">
        <v>1610</v>
      </c>
    </row>
    <row r="126" spans="1:9" x14ac:dyDescent="0.3">
      <c r="A126" s="11" t="s">
        <v>114</v>
      </c>
      <c r="B126" s="3">
        <v>0</v>
      </c>
      <c r="C126" s="3">
        <v>0</v>
      </c>
      <c r="D126">
        <v>267</v>
      </c>
      <c r="E126">
        <v>244</v>
      </c>
      <c r="F126">
        <v>237</v>
      </c>
      <c r="G126">
        <v>214</v>
      </c>
      <c r="H126">
        <v>190</v>
      </c>
      <c r="I126">
        <v>234</v>
      </c>
    </row>
    <row r="127" spans="1:9" x14ac:dyDescent="0.3">
      <c r="A127" s="10" t="s">
        <v>106</v>
      </c>
      <c r="B127" s="3">
        <v>115</v>
      </c>
      <c r="C127" s="3">
        <v>73</v>
      </c>
      <c r="D127" s="3">
        <v>73</v>
      </c>
      <c r="E127" s="3">
        <v>88</v>
      </c>
      <c r="F127" s="3">
        <v>42</v>
      </c>
      <c r="G127" s="3">
        <v>30</v>
      </c>
      <c r="H127" s="3">
        <v>25</v>
      </c>
      <c r="I127" s="3">
        <v>102</v>
      </c>
    </row>
    <row r="128" spans="1:9" x14ac:dyDescent="0.3">
      <c r="A128" s="4" t="s">
        <v>102</v>
      </c>
      <c r="B128" s="5">
        <f t="shared" ref="B128:I128" si="19">+B111+B115+B119+B123+B127</f>
        <v>28701</v>
      </c>
      <c r="C128" s="5">
        <f t="shared" si="19"/>
        <v>30507</v>
      </c>
      <c r="D128" s="5">
        <f t="shared" si="19"/>
        <v>32233</v>
      </c>
      <c r="E128" s="5">
        <f t="shared" si="19"/>
        <v>34485</v>
      </c>
      <c r="F128" s="5">
        <f t="shared" si="19"/>
        <v>37218</v>
      </c>
      <c r="G128" s="5">
        <f t="shared" si="19"/>
        <v>35568</v>
      </c>
      <c r="H128" s="5">
        <f t="shared" si="19"/>
        <v>42293</v>
      </c>
      <c r="I128" s="5">
        <f t="shared" si="19"/>
        <v>44436</v>
      </c>
    </row>
    <row r="129" spans="1:9" x14ac:dyDescent="0.3">
      <c r="A129" s="2" t="s">
        <v>103</v>
      </c>
      <c r="B129" s="3">
        <v>1982</v>
      </c>
      <c r="C129" s="3">
        <v>1955</v>
      </c>
      <c r="D129" s="3">
        <v>2042</v>
      </c>
      <c r="E129" s="3">
        <f>+SUM(E130:E133)</f>
        <v>1886</v>
      </c>
      <c r="F129" s="3">
        <f>+SUM(F130:F133)</f>
        <v>1906</v>
      </c>
      <c r="G129" s="3">
        <f>+SUM(G130:G133)</f>
        <v>1846</v>
      </c>
      <c r="H129" s="3">
        <f>+SUM(H130:H133)</f>
        <v>2205</v>
      </c>
      <c r="I129" s="3">
        <f>+SUM(I130:I133)</f>
        <v>2346</v>
      </c>
    </row>
    <row r="130" spans="1:9" x14ac:dyDescent="0.3">
      <c r="A130" s="11" t="s">
        <v>112</v>
      </c>
      <c r="B130" s="3">
        <v>0</v>
      </c>
      <c r="C130" s="3">
        <v>0</v>
      </c>
      <c r="D130" s="3">
        <v>0</v>
      </c>
      <c r="E130" s="3">
        <v>1611</v>
      </c>
      <c r="F130" s="3">
        <v>1658</v>
      </c>
      <c r="G130" s="3">
        <v>1642</v>
      </c>
      <c r="H130" s="3">
        <v>1986</v>
      </c>
      <c r="I130" s="3">
        <v>2094</v>
      </c>
    </row>
    <row r="131" spans="1:9" x14ac:dyDescent="0.3">
      <c r="A131" s="11" t="s">
        <v>113</v>
      </c>
      <c r="B131" s="3">
        <v>0</v>
      </c>
      <c r="C131" s="3">
        <v>0</v>
      </c>
      <c r="D131" s="3">
        <v>0</v>
      </c>
      <c r="E131" s="3">
        <v>144</v>
      </c>
      <c r="F131" s="3">
        <v>118</v>
      </c>
      <c r="G131" s="3">
        <v>89</v>
      </c>
      <c r="H131" s="3">
        <v>104</v>
      </c>
      <c r="I131" s="3">
        <v>103</v>
      </c>
    </row>
    <row r="132" spans="1:9" x14ac:dyDescent="0.3">
      <c r="A132" s="11" t="s">
        <v>114</v>
      </c>
      <c r="B132" s="3">
        <v>0</v>
      </c>
      <c r="C132" s="3">
        <v>0</v>
      </c>
      <c r="D132" s="3">
        <v>0</v>
      </c>
      <c r="E132" s="3">
        <v>28</v>
      </c>
      <c r="F132" s="3">
        <v>24</v>
      </c>
      <c r="G132" s="3">
        <v>25</v>
      </c>
      <c r="H132" s="3">
        <v>29</v>
      </c>
      <c r="I132" s="3">
        <v>26</v>
      </c>
    </row>
    <row r="133" spans="1:9" x14ac:dyDescent="0.3">
      <c r="A133" s="11" t="s">
        <v>120</v>
      </c>
      <c r="B133" s="3">
        <v>0</v>
      </c>
      <c r="C133" s="3">
        <v>0</v>
      </c>
      <c r="D133" s="3">
        <v>0</v>
      </c>
      <c r="E133" s="3">
        <v>103</v>
      </c>
      <c r="F133" s="3">
        <v>106</v>
      </c>
      <c r="G133" s="3">
        <v>90</v>
      </c>
      <c r="H133" s="3">
        <v>86</v>
      </c>
      <c r="I133" s="3">
        <v>123</v>
      </c>
    </row>
    <row r="134" spans="1:9" x14ac:dyDescent="0.3">
      <c r="A134" s="2" t="s">
        <v>107</v>
      </c>
      <c r="B134" s="3">
        <v>-82</v>
      </c>
      <c r="C134" s="3">
        <v>-86</v>
      </c>
      <c r="D134" s="3">
        <v>75</v>
      </c>
      <c r="E134" s="3">
        <v>26</v>
      </c>
      <c r="F134" s="3">
        <v>-7</v>
      </c>
      <c r="G134" s="3">
        <v>-11</v>
      </c>
      <c r="H134" s="3">
        <v>40</v>
      </c>
      <c r="I134" s="3">
        <v>-72</v>
      </c>
    </row>
    <row r="135" spans="1:9" ht="15" thickBot="1" x14ac:dyDescent="0.35">
      <c r="A135" s="6" t="s">
        <v>104</v>
      </c>
      <c r="B135" s="7">
        <f t="shared" ref="B135:I135" si="20">+B128+B129+B134</f>
        <v>30601</v>
      </c>
      <c r="C135" s="7">
        <f t="shared" si="20"/>
        <v>32376</v>
      </c>
      <c r="D135" s="7">
        <f t="shared" si="20"/>
        <v>34350</v>
      </c>
      <c r="E135" s="7">
        <f t="shared" si="20"/>
        <v>36397</v>
      </c>
      <c r="F135" s="7">
        <f t="shared" si="20"/>
        <v>39117</v>
      </c>
      <c r="G135" s="7">
        <f t="shared" si="20"/>
        <v>37403</v>
      </c>
      <c r="H135" s="7">
        <f t="shared" si="20"/>
        <v>44538</v>
      </c>
      <c r="I135" s="7">
        <f t="shared" si="20"/>
        <v>46710</v>
      </c>
    </row>
    <row r="136" spans="1:9" s="12" customFormat="1" ht="15" thickTop="1" x14ac:dyDescent="0.3">
      <c r="A136" s="12" t="s">
        <v>110</v>
      </c>
      <c r="B136" s="13">
        <f t="shared" ref="B136:I136" si="21">+B135-B2</f>
        <v>0</v>
      </c>
      <c r="C136" s="13">
        <f t="shared" si="21"/>
        <v>0</v>
      </c>
      <c r="D136" s="13">
        <f t="shared" si="21"/>
        <v>0</v>
      </c>
      <c r="E136" s="13">
        <f t="shared" si="21"/>
        <v>0</v>
      </c>
      <c r="F136" s="13">
        <f t="shared" si="21"/>
        <v>0</v>
      </c>
      <c r="G136" s="13">
        <f t="shared" si="21"/>
        <v>0</v>
      </c>
      <c r="H136" s="13">
        <f t="shared" si="21"/>
        <v>0</v>
      </c>
      <c r="I136" s="13">
        <f t="shared" si="21"/>
        <v>0</v>
      </c>
    </row>
    <row r="137" spans="1:9" x14ac:dyDescent="0.3">
      <c r="A137" s="1" t="s">
        <v>109</v>
      </c>
    </row>
    <row r="138" spans="1:9" x14ac:dyDescent="0.3">
      <c r="A138" s="2" t="s">
        <v>99</v>
      </c>
      <c r="B138" s="3">
        <v>3645</v>
      </c>
      <c r="C138" s="3">
        <v>3763</v>
      </c>
      <c r="D138" s="3">
        <v>3875</v>
      </c>
      <c r="E138" s="3">
        <v>3600</v>
      </c>
      <c r="F138" s="3">
        <v>3925</v>
      </c>
      <c r="G138" s="3">
        <v>2899</v>
      </c>
      <c r="H138" s="3">
        <v>5089</v>
      </c>
      <c r="I138" s="3">
        <v>5114</v>
      </c>
    </row>
    <row r="139" spans="1:9" x14ac:dyDescent="0.3">
      <c r="A139" s="2" t="s">
        <v>100</v>
      </c>
      <c r="B139" s="3">
        <f>1275+249+100+818</f>
        <v>2442</v>
      </c>
      <c r="C139" s="3">
        <f>1434+289+892+174</f>
        <v>2789</v>
      </c>
      <c r="D139" s="3">
        <v>1507</v>
      </c>
      <c r="E139" s="3">
        <v>1587</v>
      </c>
      <c r="F139" s="3">
        <v>1995</v>
      </c>
      <c r="G139" s="3">
        <v>1541</v>
      </c>
      <c r="H139" s="3">
        <v>2435</v>
      </c>
      <c r="I139" s="3">
        <v>3293</v>
      </c>
    </row>
    <row r="140" spans="1:9" x14ac:dyDescent="0.3">
      <c r="A140" s="2" t="s">
        <v>101</v>
      </c>
      <c r="B140" s="3">
        <v>993</v>
      </c>
      <c r="C140" s="3">
        <v>1372</v>
      </c>
      <c r="D140" s="3">
        <v>1507</v>
      </c>
      <c r="E140" s="3">
        <v>1807</v>
      </c>
      <c r="F140" s="3">
        <v>2376</v>
      </c>
      <c r="G140" s="3">
        <v>2490</v>
      </c>
      <c r="H140" s="3">
        <v>3243</v>
      </c>
      <c r="I140" s="3">
        <v>2365</v>
      </c>
    </row>
    <row r="141" spans="1:9" x14ac:dyDescent="0.3">
      <c r="A141" s="2" t="s">
        <v>105</v>
      </c>
      <c r="B141" s="3">
        <v>0</v>
      </c>
      <c r="C141" s="3">
        <v>0</v>
      </c>
      <c r="D141" s="3">
        <v>980</v>
      </c>
      <c r="E141" s="3">
        <v>1189</v>
      </c>
      <c r="F141" s="3">
        <v>1323</v>
      </c>
      <c r="G141" s="3">
        <v>1184</v>
      </c>
      <c r="H141" s="3">
        <v>1530</v>
      </c>
      <c r="I141" s="3">
        <v>1896</v>
      </c>
    </row>
    <row r="142" spans="1:9" x14ac:dyDescent="0.3">
      <c r="A142" s="2" t="s">
        <v>106</v>
      </c>
      <c r="B142" s="3">
        <v>-2267</v>
      </c>
      <c r="C142" s="3">
        <v>-2596</v>
      </c>
      <c r="D142" s="3">
        <v>-2677</v>
      </c>
      <c r="E142" s="3">
        <v>-2658</v>
      </c>
      <c r="F142" s="3">
        <v>-3262</v>
      </c>
      <c r="G142" s="3">
        <v>-3468</v>
      </c>
      <c r="H142" s="3">
        <v>-3656</v>
      </c>
      <c r="I142" s="3">
        <v>-4262</v>
      </c>
    </row>
    <row r="143" spans="1:9" x14ac:dyDescent="0.3">
      <c r="A143" s="4" t="s">
        <v>102</v>
      </c>
      <c r="B143" s="5">
        <f t="shared" ref="B143:I143" si="22">+SUM(B138:B142)</f>
        <v>4813</v>
      </c>
      <c r="C143" s="5">
        <f t="shared" si="22"/>
        <v>5328</v>
      </c>
      <c r="D143" s="5">
        <f t="shared" si="22"/>
        <v>5192</v>
      </c>
      <c r="E143" s="5">
        <f t="shared" si="22"/>
        <v>5525</v>
      </c>
      <c r="F143" s="5">
        <f t="shared" si="22"/>
        <v>6357</v>
      </c>
      <c r="G143" s="5">
        <f t="shared" si="22"/>
        <v>4646</v>
      </c>
      <c r="H143" s="5">
        <f t="shared" si="22"/>
        <v>8641</v>
      </c>
      <c r="I143" s="5">
        <f t="shared" si="22"/>
        <v>8406</v>
      </c>
    </row>
    <row r="144" spans="1:9" x14ac:dyDescent="0.3">
      <c r="A144" s="2" t="s">
        <v>103</v>
      </c>
      <c r="B144" s="3">
        <v>517</v>
      </c>
      <c r="C144" s="3">
        <v>487</v>
      </c>
      <c r="D144" s="3">
        <v>477</v>
      </c>
      <c r="E144" s="3">
        <v>310</v>
      </c>
      <c r="F144" s="3">
        <v>303</v>
      </c>
      <c r="G144" s="3">
        <v>297</v>
      </c>
      <c r="H144" s="3">
        <v>543</v>
      </c>
      <c r="I144" s="3">
        <v>669</v>
      </c>
    </row>
    <row r="145" spans="1:9" x14ac:dyDescent="0.3">
      <c r="A145" s="2" t="s">
        <v>107</v>
      </c>
      <c r="B145" s="3">
        <v>-1097</v>
      </c>
      <c r="C145" s="3">
        <v>-1173</v>
      </c>
      <c r="D145" s="3">
        <v>-724</v>
      </c>
      <c r="E145" s="3">
        <v>-1456</v>
      </c>
      <c r="F145" s="3">
        <v>-1810</v>
      </c>
      <c r="G145" s="3">
        <v>-1967</v>
      </c>
      <c r="H145" s="3">
        <v>-2261</v>
      </c>
      <c r="I145" s="3">
        <v>-2219</v>
      </c>
    </row>
    <row r="146" spans="1:9" ht="15" thickBot="1" x14ac:dyDescent="0.35">
      <c r="A146" s="6" t="s">
        <v>111</v>
      </c>
      <c r="B146" s="7">
        <f t="shared" ref="B146:I146" si="23">+SUM(B143:B145)</f>
        <v>4233</v>
      </c>
      <c r="C146" s="7">
        <f t="shared" si="23"/>
        <v>4642</v>
      </c>
      <c r="D146" s="7">
        <f t="shared" si="23"/>
        <v>4945</v>
      </c>
      <c r="E146" s="7">
        <f t="shared" si="23"/>
        <v>4379</v>
      </c>
      <c r="F146" s="7">
        <f t="shared" si="23"/>
        <v>4850</v>
      </c>
      <c r="G146" s="7">
        <f t="shared" si="23"/>
        <v>2976</v>
      </c>
      <c r="H146" s="7">
        <f t="shared" si="23"/>
        <v>6923</v>
      </c>
      <c r="I146" s="7">
        <f t="shared" si="23"/>
        <v>6856</v>
      </c>
    </row>
    <row r="147" spans="1:9" s="12" customFormat="1" ht="15" thickTop="1" x14ac:dyDescent="0.3">
      <c r="A147" s="12" t="s">
        <v>110</v>
      </c>
      <c r="B147" s="13">
        <f t="shared" ref="B147:I147" si="24">+B146-B10-B8</f>
        <v>0</v>
      </c>
      <c r="C147" s="13">
        <f t="shared" si="24"/>
        <v>0</v>
      </c>
      <c r="D147" s="13">
        <f t="shared" si="24"/>
        <v>0</v>
      </c>
      <c r="E147" s="13">
        <f t="shared" si="24"/>
        <v>0</v>
      </c>
      <c r="F147" s="13">
        <f t="shared" si="24"/>
        <v>0</v>
      </c>
      <c r="G147" s="13">
        <f t="shared" si="24"/>
        <v>0</v>
      </c>
      <c r="H147" s="13">
        <f t="shared" si="24"/>
        <v>0</v>
      </c>
      <c r="I147" s="13">
        <f t="shared" si="24"/>
        <v>0</v>
      </c>
    </row>
    <row r="148" spans="1:9" x14ac:dyDescent="0.3">
      <c r="A148" s="1" t="s">
        <v>116</v>
      </c>
    </row>
    <row r="149" spans="1:9" x14ac:dyDescent="0.3">
      <c r="A149" s="2" t="s">
        <v>99</v>
      </c>
      <c r="B149" s="3">
        <v>632</v>
      </c>
      <c r="C149" s="3">
        <v>742</v>
      </c>
      <c r="D149" s="3">
        <v>819</v>
      </c>
      <c r="E149" s="3">
        <v>848</v>
      </c>
      <c r="F149" s="3">
        <v>814</v>
      </c>
      <c r="G149" s="3">
        <v>645</v>
      </c>
      <c r="H149" s="3">
        <v>617</v>
      </c>
      <c r="I149" s="3">
        <v>639</v>
      </c>
    </row>
    <row r="150" spans="1:9" x14ac:dyDescent="0.3">
      <c r="A150" s="2" t="s">
        <v>100</v>
      </c>
      <c r="B150" s="3">
        <f>451+47+205+103</f>
        <v>806</v>
      </c>
      <c r="C150" s="3">
        <f>589+50+223+109</f>
        <v>971</v>
      </c>
      <c r="D150" s="3">
        <f>658+48+223+120</f>
        <v>1049</v>
      </c>
      <c r="E150" s="3">
        <v>849</v>
      </c>
      <c r="F150" s="3">
        <v>929</v>
      </c>
      <c r="G150" s="3">
        <v>885</v>
      </c>
      <c r="H150" s="3">
        <v>982</v>
      </c>
      <c r="I150" s="3">
        <v>920</v>
      </c>
    </row>
    <row r="151" spans="1:9" x14ac:dyDescent="0.3">
      <c r="A151" s="2" t="s">
        <v>101</v>
      </c>
      <c r="B151" s="3">
        <v>254</v>
      </c>
      <c r="C151" s="3">
        <v>234</v>
      </c>
      <c r="D151" s="3">
        <v>225</v>
      </c>
      <c r="E151" s="3">
        <v>256</v>
      </c>
      <c r="F151" s="3">
        <v>237</v>
      </c>
      <c r="G151" s="3">
        <v>214</v>
      </c>
      <c r="H151" s="3">
        <v>288</v>
      </c>
      <c r="I151" s="3">
        <v>303</v>
      </c>
    </row>
    <row r="152" spans="1:9" x14ac:dyDescent="0.3">
      <c r="A152" s="2" t="s">
        <v>117</v>
      </c>
      <c r="B152" s="3">
        <v>0</v>
      </c>
      <c r="C152" s="3">
        <v>0</v>
      </c>
      <c r="D152" s="3">
        <v>0</v>
      </c>
      <c r="E152" s="3">
        <v>339</v>
      </c>
      <c r="F152" s="3">
        <v>326</v>
      </c>
      <c r="G152" s="3">
        <v>296</v>
      </c>
      <c r="H152" s="3">
        <v>304</v>
      </c>
      <c r="I152" s="3">
        <v>274</v>
      </c>
    </row>
    <row r="153" spans="1:9" x14ac:dyDescent="0.3">
      <c r="A153" s="2" t="s">
        <v>106</v>
      </c>
      <c r="B153" s="3">
        <v>484</v>
      </c>
      <c r="C153" s="3">
        <v>511</v>
      </c>
      <c r="D153" s="3">
        <v>533</v>
      </c>
      <c r="E153" s="3">
        <v>597</v>
      </c>
      <c r="F153" s="3">
        <v>665</v>
      </c>
      <c r="G153" s="3">
        <v>830</v>
      </c>
      <c r="H153" s="3">
        <v>780</v>
      </c>
      <c r="I153" s="3">
        <v>789</v>
      </c>
    </row>
    <row r="154" spans="1:9" x14ac:dyDescent="0.3">
      <c r="A154" s="4" t="s">
        <v>118</v>
      </c>
      <c r="B154" s="5">
        <f t="shared" ref="B154:I154" si="25">+SUM(B149:B153)</f>
        <v>2176</v>
      </c>
      <c r="C154" s="5">
        <f t="shared" si="25"/>
        <v>2458</v>
      </c>
      <c r="D154" s="5">
        <f t="shared" si="25"/>
        <v>2626</v>
      </c>
      <c r="E154" s="5">
        <f t="shared" si="25"/>
        <v>2889</v>
      </c>
      <c r="F154" s="5">
        <f t="shared" si="25"/>
        <v>2971</v>
      </c>
      <c r="G154" s="5">
        <f t="shared" si="25"/>
        <v>2870</v>
      </c>
      <c r="H154" s="5">
        <f t="shared" si="25"/>
        <v>2971</v>
      </c>
      <c r="I154" s="5">
        <f t="shared" si="25"/>
        <v>2925</v>
      </c>
    </row>
    <row r="155" spans="1:9" x14ac:dyDescent="0.3">
      <c r="A155" s="2" t="s">
        <v>103</v>
      </c>
      <c r="B155" s="3">
        <v>122</v>
      </c>
      <c r="C155" s="3">
        <v>125</v>
      </c>
      <c r="D155" s="3">
        <v>125</v>
      </c>
      <c r="E155" s="3">
        <v>115</v>
      </c>
      <c r="F155" s="3">
        <v>100</v>
      </c>
      <c r="G155" s="3">
        <v>80</v>
      </c>
      <c r="H155" s="3">
        <v>63</v>
      </c>
      <c r="I155" s="3">
        <v>49</v>
      </c>
    </row>
    <row r="156" spans="1:9" x14ac:dyDescent="0.3">
      <c r="A156" s="2" t="s">
        <v>107</v>
      </c>
      <c r="B156" s="3">
        <v>713</v>
      </c>
      <c r="C156" s="3">
        <v>937</v>
      </c>
      <c r="D156" s="3">
        <v>1238</v>
      </c>
      <c r="E156" s="3">
        <v>1450</v>
      </c>
      <c r="F156" s="3">
        <v>1673</v>
      </c>
      <c r="G156" s="3">
        <v>1916</v>
      </c>
      <c r="H156" s="3">
        <v>1870</v>
      </c>
      <c r="I156" s="3">
        <v>1817</v>
      </c>
    </row>
    <row r="157" spans="1:9" ht="15" thickBot="1" x14ac:dyDescent="0.35">
      <c r="A157" s="6" t="s">
        <v>119</v>
      </c>
      <c r="B157" s="7">
        <f t="shared" ref="B157:I157" si="26">+SUM(B154:B156)</f>
        <v>3011</v>
      </c>
      <c r="C157" s="7">
        <f t="shared" si="26"/>
        <v>3520</v>
      </c>
      <c r="D157" s="7">
        <f t="shared" si="26"/>
        <v>3989</v>
      </c>
      <c r="E157" s="7">
        <f t="shared" si="26"/>
        <v>4454</v>
      </c>
      <c r="F157" s="7">
        <f t="shared" si="26"/>
        <v>4744</v>
      </c>
      <c r="G157" s="7">
        <f t="shared" si="26"/>
        <v>4866</v>
      </c>
      <c r="H157" s="7">
        <f t="shared" si="26"/>
        <v>4904</v>
      </c>
      <c r="I157" s="7">
        <f t="shared" si="26"/>
        <v>4791</v>
      </c>
    </row>
    <row r="158" spans="1:9" ht="15" thickTop="1" x14ac:dyDescent="0.3">
      <c r="A158" s="12" t="s">
        <v>110</v>
      </c>
      <c r="B158" s="13">
        <f t="shared" ref="B158:I158" si="27">+B157-B31</f>
        <v>0</v>
      </c>
      <c r="C158" s="13">
        <f t="shared" si="27"/>
        <v>0</v>
      </c>
      <c r="D158" s="13">
        <f t="shared" si="27"/>
        <v>0</v>
      </c>
      <c r="E158" s="13">
        <f t="shared" si="27"/>
        <v>0</v>
      </c>
      <c r="F158" s="13">
        <f t="shared" si="27"/>
        <v>0</v>
      </c>
      <c r="G158" s="13">
        <f t="shared" si="27"/>
        <v>0</v>
      </c>
      <c r="H158" s="13">
        <f t="shared" si="27"/>
        <v>0</v>
      </c>
      <c r="I158" s="13">
        <f t="shared" si="27"/>
        <v>0</v>
      </c>
    </row>
    <row r="159" spans="1:9" x14ac:dyDescent="0.3">
      <c r="A159" s="1" t="s">
        <v>121</v>
      </c>
    </row>
    <row r="160" spans="1:9" x14ac:dyDescent="0.3">
      <c r="A160" s="2" t="s">
        <v>99</v>
      </c>
      <c r="B160" s="3">
        <v>208</v>
      </c>
      <c r="C160" s="3">
        <v>242</v>
      </c>
      <c r="D160" s="3">
        <v>223</v>
      </c>
      <c r="E160" s="3">
        <v>196</v>
      </c>
      <c r="F160" s="3">
        <v>117</v>
      </c>
      <c r="G160" s="3">
        <v>110</v>
      </c>
      <c r="H160" s="3">
        <v>98</v>
      </c>
      <c r="I160" s="3">
        <v>146</v>
      </c>
    </row>
    <row r="161" spans="1:12" x14ac:dyDescent="0.3">
      <c r="A161" s="2" t="s">
        <v>100</v>
      </c>
      <c r="B161" s="3">
        <f>216+20+15+37</f>
        <v>288</v>
      </c>
      <c r="C161" s="3">
        <f>215+17+13+51</f>
        <v>296</v>
      </c>
      <c r="D161" s="3">
        <f>162+10+21+39</f>
        <v>232</v>
      </c>
      <c r="E161" s="3">
        <v>240</v>
      </c>
      <c r="F161" s="3">
        <v>233</v>
      </c>
      <c r="G161" s="3">
        <v>139</v>
      </c>
      <c r="H161" s="3">
        <v>153</v>
      </c>
      <c r="I161" s="3">
        <v>197</v>
      </c>
    </row>
    <row r="162" spans="1:12" x14ac:dyDescent="0.3">
      <c r="A162" s="2" t="s">
        <v>101</v>
      </c>
      <c r="B162" s="3">
        <v>69</v>
      </c>
      <c r="C162" s="3">
        <v>44</v>
      </c>
      <c r="D162" s="3">
        <v>51</v>
      </c>
      <c r="E162" s="3">
        <v>76</v>
      </c>
      <c r="F162" s="3">
        <v>49</v>
      </c>
      <c r="G162" s="3">
        <v>28</v>
      </c>
      <c r="H162" s="3">
        <v>94</v>
      </c>
      <c r="I162" s="3">
        <v>78</v>
      </c>
    </row>
    <row r="163" spans="1:12" x14ac:dyDescent="0.3">
      <c r="A163" s="2" t="s">
        <v>117</v>
      </c>
      <c r="B163" s="3">
        <v>0</v>
      </c>
      <c r="C163" s="3">
        <v>0</v>
      </c>
      <c r="D163" s="3">
        <v>0</v>
      </c>
      <c r="E163" s="3">
        <v>49</v>
      </c>
      <c r="F163" s="3">
        <v>47</v>
      </c>
      <c r="G163" s="3">
        <v>41</v>
      </c>
      <c r="H163" s="3">
        <v>54</v>
      </c>
      <c r="I163" s="3">
        <v>56</v>
      </c>
    </row>
    <row r="164" spans="1:12" x14ac:dyDescent="0.3">
      <c r="A164" s="2" t="s">
        <v>106</v>
      </c>
      <c r="B164" s="3">
        <v>225</v>
      </c>
      <c r="C164" s="3">
        <v>258</v>
      </c>
      <c r="D164" s="3">
        <v>278</v>
      </c>
      <c r="E164" s="3">
        <v>286</v>
      </c>
      <c r="F164" s="3">
        <v>278</v>
      </c>
      <c r="G164" s="3">
        <v>438</v>
      </c>
      <c r="H164" s="3">
        <v>278</v>
      </c>
      <c r="I164" s="3">
        <v>222</v>
      </c>
      <c r="L164" s="61"/>
    </row>
    <row r="165" spans="1:12" x14ac:dyDescent="0.3">
      <c r="A165" s="4" t="s">
        <v>118</v>
      </c>
      <c r="B165" s="5">
        <f t="shared" ref="B165:I165" si="28">+SUM(B160:B164)</f>
        <v>790</v>
      </c>
      <c r="C165" s="5">
        <f t="shared" si="28"/>
        <v>840</v>
      </c>
      <c r="D165" s="5">
        <f t="shared" si="28"/>
        <v>784</v>
      </c>
      <c r="E165" s="5">
        <f t="shared" si="28"/>
        <v>847</v>
      </c>
      <c r="F165" s="5">
        <f t="shared" si="28"/>
        <v>724</v>
      </c>
      <c r="G165" s="5">
        <f t="shared" si="28"/>
        <v>756</v>
      </c>
      <c r="H165" s="5">
        <f t="shared" si="28"/>
        <v>677</v>
      </c>
      <c r="I165" s="5">
        <f t="shared" si="28"/>
        <v>699</v>
      </c>
    </row>
    <row r="166" spans="1:12" x14ac:dyDescent="0.3">
      <c r="A166" s="2" t="s">
        <v>103</v>
      </c>
      <c r="B166" s="3">
        <v>69</v>
      </c>
      <c r="C166" s="3">
        <v>39</v>
      </c>
      <c r="D166" s="3">
        <v>30</v>
      </c>
      <c r="E166" s="3">
        <v>22</v>
      </c>
      <c r="F166" s="3">
        <v>333</v>
      </c>
      <c r="G166" s="3">
        <v>12</v>
      </c>
      <c r="H166" s="3">
        <v>7</v>
      </c>
      <c r="I166" s="3">
        <v>9</v>
      </c>
    </row>
    <row r="167" spans="1:12" x14ac:dyDescent="0.3">
      <c r="A167" s="2" t="s">
        <v>107</v>
      </c>
      <c r="B167" s="3">
        <f t="shared" ref="B167:I167" si="29">-(SUM(B165:B166)+B82)</f>
        <v>104</v>
      </c>
      <c r="C167" s="3">
        <f t="shared" si="29"/>
        <v>264</v>
      </c>
      <c r="D167" s="3">
        <f t="shared" si="29"/>
        <v>291</v>
      </c>
      <c r="E167" s="3">
        <f>-(SUM(E165:E166)+E82)</f>
        <v>159</v>
      </c>
      <c r="F167" s="3">
        <f>-(SUM(F165:F166)+F82)</f>
        <v>62</v>
      </c>
      <c r="G167" s="3">
        <f t="shared" si="29"/>
        <v>318</v>
      </c>
      <c r="H167" s="3">
        <f t="shared" si="29"/>
        <v>11</v>
      </c>
      <c r="I167" s="3">
        <f t="shared" si="29"/>
        <v>50</v>
      </c>
    </row>
    <row r="168" spans="1:12" ht="15" thickBot="1" x14ac:dyDescent="0.35">
      <c r="A168" s="6" t="s">
        <v>122</v>
      </c>
      <c r="B168" s="7">
        <f t="shared" ref="B168:I168" si="30">+SUM(B165:B167)</f>
        <v>963</v>
      </c>
      <c r="C168" s="7">
        <f t="shared" si="30"/>
        <v>1143</v>
      </c>
      <c r="D168" s="7">
        <f t="shared" si="30"/>
        <v>1105</v>
      </c>
      <c r="E168" s="7">
        <f t="shared" si="30"/>
        <v>1028</v>
      </c>
      <c r="F168" s="7">
        <f>+SUM(F165:F167)</f>
        <v>1119</v>
      </c>
      <c r="G168" s="7">
        <f>+SUM(G165:G167)</f>
        <v>1086</v>
      </c>
      <c r="H168" s="7">
        <f t="shared" si="30"/>
        <v>695</v>
      </c>
      <c r="I168" s="7">
        <f t="shared" si="30"/>
        <v>758</v>
      </c>
      <c r="J168" s="66"/>
    </row>
    <row r="169" spans="1:12" ht="15" thickTop="1" x14ac:dyDescent="0.3">
      <c r="A169" s="12" t="s">
        <v>110</v>
      </c>
      <c r="B169" s="13">
        <f t="shared" ref="B169:I169" si="31">+B168+B82</f>
        <v>0</v>
      </c>
      <c r="C169" s="13">
        <f t="shared" si="31"/>
        <v>0</v>
      </c>
      <c r="D169" s="13">
        <f t="shared" si="31"/>
        <v>0</v>
      </c>
      <c r="E169" s="13">
        <f t="shared" si="31"/>
        <v>0</v>
      </c>
      <c r="F169" s="13">
        <f t="shared" si="31"/>
        <v>0</v>
      </c>
      <c r="G169" s="13">
        <f t="shared" si="31"/>
        <v>0</v>
      </c>
      <c r="H169" s="13">
        <f t="shared" si="31"/>
        <v>0</v>
      </c>
      <c r="I169" s="13">
        <f t="shared" si="31"/>
        <v>0</v>
      </c>
    </row>
    <row r="170" spans="1:12" x14ac:dyDescent="0.3">
      <c r="A170" s="1" t="s">
        <v>123</v>
      </c>
    </row>
    <row r="171" spans="1:12" x14ac:dyDescent="0.3">
      <c r="A171" s="2" t="s">
        <v>99</v>
      </c>
      <c r="B171" s="3">
        <v>121</v>
      </c>
      <c r="C171" s="3">
        <v>133</v>
      </c>
      <c r="D171" s="3">
        <v>140</v>
      </c>
      <c r="E171" s="3">
        <v>160</v>
      </c>
      <c r="F171" s="3">
        <v>149</v>
      </c>
      <c r="G171" s="3">
        <v>148</v>
      </c>
      <c r="H171" s="3">
        <v>130</v>
      </c>
      <c r="I171" s="3">
        <v>124</v>
      </c>
    </row>
    <row r="172" spans="1:12" x14ac:dyDescent="0.3">
      <c r="A172" s="2" t="s">
        <v>100</v>
      </c>
      <c r="B172" s="3">
        <f>75+12+22+27</f>
        <v>136</v>
      </c>
      <c r="C172" s="3">
        <f>72+12+18+25</f>
        <v>127</v>
      </c>
      <c r="D172" s="3">
        <f>91+13+18+38</f>
        <v>160</v>
      </c>
      <c r="E172" s="3">
        <v>116</v>
      </c>
      <c r="F172" s="3">
        <v>111</v>
      </c>
      <c r="G172" s="3">
        <v>132</v>
      </c>
      <c r="H172" s="3">
        <v>136</v>
      </c>
      <c r="I172" s="3">
        <v>134</v>
      </c>
    </row>
    <row r="173" spans="1:12" x14ac:dyDescent="0.3">
      <c r="A173" s="2" t="s">
        <v>101</v>
      </c>
      <c r="B173" s="3">
        <v>46</v>
      </c>
      <c r="C173" s="3">
        <v>48</v>
      </c>
      <c r="D173" s="3">
        <v>54</v>
      </c>
      <c r="E173" s="3">
        <v>56</v>
      </c>
      <c r="F173" s="3">
        <v>50</v>
      </c>
      <c r="G173" s="3">
        <v>44</v>
      </c>
      <c r="H173" s="3">
        <v>46</v>
      </c>
      <c r="I173" s="3">
        <v>41</v>
      </c>
    </row>
    <row r="174" spans="1:12" x14ac:dyDescent="0.3">
      <c r="A174" s="2" t="s">
        <v>105</v>
      </c>
      <c r="B174" s="3">
        <v>0</v>
      </c>
      <c r="C174" s="3">
        <v>0</v>
      </c>
      <c r="D174" s="3">
        <v>0</v>
      </c>
      <c r="E174" s="3">
        <v>55</v>
      </c>
      <c r="F174" s="3">
        <v>53</v>
      </c>
      <c r="G174" s="3">
        <v>46</v>
      </c>
      <c r="H174" s="3">
        <v>43</v>
      </c>
      <c r="I174" s="3">
        <v>42</v>
      </c>
    </row>
    <row r="175" spans="1:12" x14ac:dyDescent="0.3">
      <c r="A175" s="2" t="s">
        <v>106</v>
      </c>
      <c r="B175" s="3">
        <v>210</v>
      </c>
      <c r="C175" s="3">
        <v>230</v>
      </c>
      <c r="D175" s="3">
        <v>233</v>
      </c>
      <c r="E175" s="3">
        <v>217</v>
      </c>
      <c r="F175" s="3">
        <v>195</v>
      </c>
      <c r="G175" s="3">
        <v>214</v>
      </c>
      <c r="H175" s="3">
        <v>222</v>
      </c>
      <c r="I175" s="3">
        <v>220</v>
      </c>
    </row>
    <row r="176" spans="1:12" x14ac:dyDescent="0.3">
      <c r="A176" s="4" t="s">
        <v>118</v>
      </c>
      <c r="B176" s="5">
        <f t="shared" ref="B176:I176" si="32">+SUM(B171:B175)</f>
        <v>513</v>
      </c>
      <c r="C176" s="5">
        <f t="shared" si="32"/>
        <v>538</v>
      </c>
      <c r="D176" s="5">
        <f t="shared" si="32"/>
        <v>587</v>
      </c>
      <c r="E176" s="5">
        <f t="shared" si="32"/>
        <v>604</v>
      </c>
      <c r="F176" s="5">
        <f t="shared" si="32"/>
        <v>558</v>
      </c>
      <c r="G176" s="5">
        <f t="shared" si="32"/>
        <v>584</v>
      </c>
      <c r="H176" s="5">
        <f t="shared" si="32"/>
        <v>577</v>
      </c>
      <c r="I176" s="5">
        <f t="shared" si="32"/>
        <v>561</v>
      </c>
    </row>
    <row r="177" spans="1:9" x14ac:dyDescent="0.3">
      <c r="A177" s="2" t="s">
        <v>103</v>
      </c>
      <c r="B177" s="3">
        <v>18</v>
      </c>
      <c r="C177" s="3">
        <v>27</v>
      </c>
      <c r="D177" s="3">
        <v>28</v>
      </c>
      <c r="E177" s="3">
        <v>33</v>
      </c>
      <c r="F177" s="3">
        <v>31</v>
      </c>
      <c r="G177" s="3">
        <v>25</v>
      </c>
      <c r="H177" s="3">
        <v>26</v>
      </c>
      <c r="I177" s="3">
        <v>22</v>
      </c>
    </row>
    <row r="178" spans="1:9" x14ac:dyDescent="0.3">
      <c r="A178" s="2" t="s">
        <v>107</v>
      </c>
      <c r="B178" s="3">
        <v>75</v>
      </c>
      <c r="C178" s="3">
        <v>84</v>
      </c>
      <c r="D178" s="3">
        <v>91</v>
      </c>
      <c r="E178" s="3">
        <v>110</v>
      </c>
      <c r="F178" s="3">
        <v>116</v>
      </c>
      <c r="G178" s="3">
        <v>112</v>
      </c>
      <c r="H178" s="3">
        <v>141</v>
      </c>
      <c r="I178" s="3">
        <v>134</v>
      </c>
    </row>
    <row r="179" spans="1:9" ht="15" thickBot="1" x14ac:dyDescent="0.35">
      <c r="A179" s="6" t="s">
        <v>124</v>
      </c>
      <c r="B179" s="7">
        <f t="shared" ref="B179:I179" si="33">+SUM(B176:B178)</f>
        <v>606</v>
      </c>
      <c r="C179" s="7">
        <f t="shared" si="33"/>
        <v>649</v>
      </c>
      <c r="D179" s="7">
        <f t="shared" si="33"/>
        <v>706</v>
      </c>
      <c r="E179" s="7">
        <f t="shared" si="33"/>
        <v>747</v>
      </c>
      <c r="F179" s="7">
        <f t="shared" si="33"/>
        <v>705</v>
      </c>
      <c r="G179" s="7">
        <f t="shared" si="33"/>
        <v>721</v>
      </c>
      <c r="H179" s="7">
        <f t="shared" si="33"/>
        <v>744</v>
      </c>
      <c r="I179" s="7">
        <f t="shared" si="33"/>
        <v>717</v>
      </c>
    </row>
    <row r="180" spans="1:9" ht="15" thickTop="1" x14ac:dyDescent="0.3">
      <c r="A180" s="12" t="s">
        <v>110</v>
      </c>
      <c r="B180" s="13">
        <f t="shared" ref="B180:I180" si="34">+B179-B66</f>
        <v>0</v>
      </c>
      <c r="C180" s="13">
        <f t="shared" si="34"/>
        <v>0</v>
      </c>
      <c r="D180" s="13">
        <f t="shared" si="34"/>
        <v>0</v>
      </c>
      <c r="E180" s="13">
        <f t="shared" si="34"/>
        <v>0</v>
      </c>
      <c r="F180" s="13">
        <f t="shared" si="34"/>
        <v>0</v>
      </c>
      <c r="G180" s="13">
        <f t="shared" si="34"/>
        <v>0</v>
      </c>
      <c r="H180" s="13">
        <f t="shared" si="34"/>
        <v>0</v>
      </c>
      <c r="I180" s="13">
        <f t="shared" si="34"/>
        <v>0</v>
      </c>
    </row>
    <row r="181" spans="1:9" x14ac:dyDescent="0.3">
      <c r="A181" s="14" t="s">
        <v>125</v>
      </c>
      <c r="B181" s="14"/>
      <c r="C181" s="14"/>
      <c r="D181" s="14"/>
      <c r="E181" s="14"/>
      <c r="F181" s="14"/>
      <c r="G181" s="14"/>
      <c r="H181" s="14"/>
      <c r="I181" s="14"/>
    </row>
    <row r="182" spans="1:9" x14ac:dyDescent="0.3">
      <c r="A182" s="28" t="s">
        <v>126</v>
      </c>
      <c r="D182" t="s">
        <v>143</v>
      </c>
    </row>
    <row r="183" spans="1:9" x14ac:dyDescent="0.3">
      <c r="A183" s="33" t="s">
        <v>99</v>
      </c>
      <c r="B183" s="34">
        <v>0.12</v>
      </c>
      <c r="C183" s="34">
        <v>0.08</v>
      </c>
      <c r="D183" s="34">
        <v>0.03</v>
      </c>
      <c r="E183" s="34">
        <v>-0.02</v>
      </c>
      <c r="F183" s="34">
        <v>7.0000000000000007E-2</v>
      </c>
      <c r="G183" s="34">
        <v>-0.09</v>
      </c>
      <c r="H183" s="34">
        <v>0.19</v>
      </c>
      <c r="I183" s="34">
        <v>7.0000000000000007E-2</v>
      </c>
    </row>
    <row r="184" spans="1:9" x14ac:dyDescent="0.3">
      <c r="A184" s="31" t="s">
        <v>112</v>
      </c>
      <c r="B184" s="30">
        <v>0.14000000000000001</v>
      </c>
      <c r="C184" s="30">
        <v>0.1</v>
      </c>
      <c r="D184" s="30">
        <v>0.04</v>
      </c>
      <c r="E184" s="30">
        <v>-0.04</v>
      </c>
      <c r="F184" s="30">
        <v>0.08</v>
      </c>
      <c r="G184" s="30">
        <v>-7.0000000000000007E-2</v>
      </c>
      <c r="H184" s="30">
        <v>0.25</v>
      </c>
      <c r="I184" s="30">
        <v>0.05</v>
      </c>
    </row>
    <row r="185" spans="1:9" x14ac:dyDescent="0.3">
      <c r="A185" s="31" t="s">
        <v>113</v>
      </c>
      <c r="B185" s="30">
        <v>0.12</v>
      </c>
      <c r="C185" s="30">
        <v>0.08</v>
      </c>
      <c r="D185" s="30">
        <v>0.03</v>
      </c>
      <c r="E185" s="30">
        <v>0.01</v>
      </c>
      <c r="F185" s="30">
        <v>7.0000000000000007E-2</v>
      </c>
      <c r="G185" s="30">
        <v>-0.12</v>
      </c>
      <c r="H185" s="30">
        <v>0.08</v>
      </c>
      <c r="I185" s="30">
        <v>0.09</v>
      </c>
    </row>
    <row r="186" spans="1:9" x14ac:dyDescent="0.3">
      <c r="A186" s="31" t="s">
        <v>114</v>
      </c>
      <c r="B186" s="30">
        <v>-0.05</v>
      </c>
      <c r="C186" s="30">
        <v>-0.13</v>
      </c>
      <c r="D186" s="30">
        <v>-0.1</v>
      </c>
      <c r="E186" s="30">
        <v>-0.08</v>
      </c>
      <c r="F186" s="30">
        <v>0</v>
      </c>
      <c r="G186" s="30">
        <v>-0.14000000000000001</v>
      </c>
      <c r="H186" s="30">
        <v>-0.02</v>
      </c>
      <c r="I186" s="30">
        <v>0.25</v>
      </c>
    </row>
    <row r="187" spans="1:9" x14ac:dyDescent="0.3">
      <c r="A187" s="33" t="s">
        <v>100</v>
      </c>
      <c r="B187" s="34">
        <v>0.53</v>
      </c>
      <c r="C187" s="34">
        <v>0.66</v>
      </c>
      <c r="D187" s="34">
        <v>0.1</v>
      </c>
      <c r="E187" s="34">
        <v>0.09</v>
      </c>
      <c r="F187" s="34">
        <v>0.11</v>
      </c>
      <c r="G187" s="34">
        <v>-0.01</v>
      </c>
      <c r="H187" s="34">
        <v>0.17</v>
      </c>
      <c r="I187" s="34">
        <v>0.12</v>
      </c>
    </row>
    <row r="188" spans="1:9" x14ac:dyDescent="0.3">
      <c r="A188" s="31" t="s">
        <v>112</v>
      </c>
      <c r="B188" s="30">
        <v>0.79</v>
      </c>
      <c r="C188" s="30">
        <v>0.85</v>
      </c>
      <c r="D188" s="30">
        <v>0.08</v>
      </c>
      <c r="E188" s="30">
        <v>0.06</v>
      </c>
      <c r="F188" s="30">
        <v>0.12</v>
      </c>
      <c r="G188" s="30">
        <v>-0.03</v>
      </c>
      <c r="H188" s="30">
        <v>0.13</v>
      </c>
      <c r="I188" s="30">
        <v>0.09</v>
      </c>
    </row>
    <row r="189" spans="1:9" x14ac:dyDescent="0.3">
      <c r="A189" s="31" t="s">
        <v>113</v>
      </c>
      <c r="B189" s="30">
        <v>0.16</v>
      </c>
      <c r="C189" s="30">
        <v>0.41</v>
      </c>
      <c r="D189" s="30">
        <v>0.17</v>
      </c>
      <c r="E189" s="30">
        <v>0.16</v>
      </c>
      <c r="F189" s="30">
        <v>0.09</v>
      </c>
      <c r="G189" s="30">
        <v>0.02</v>
      </c>
      <c r="H189" s="30">
        <v>0.25</v>
      </c>
      <c r="I189" s="30">
        <v>0.16</v>
      </c>
    </row>
    <row r="190" spans="1:9" x14ac:dyDescent="0.3">
      <c r="A190" s="31" t="s">
        <v>114</v>
      </c>
      <c r="B190" s="30">
        <v>0.28000000000000003</v>
      </c>
      <c r="C190" s="30">
        <v>0.28999999999999998</v>
      </c>
      <c r="D190" s="30">
        <v>7.0000000000000007E-2</v>
      </c>
      <c r="E190" s="30">
        <v>0.06</v>
      </c>
      <c r="F190" s="30">
        <v>0.05</v>
      </c>
      <c r="G190" s="30">
        <v>-0.03</v>
      </c>
      <c r="H190" s="30">
        <v>0.19</v>
      </c>
      <c r="I190" s="30">
        <v>0.17</v>
      </c>
    </row>
    <row r="191" spans="1:9" x14ac:dyDescent="0.3">
      <c r="A191" s="33" t="s">
        <v>101</v>
      </c>
      <c r="B191" s="34">
        <v>0.19</v>
      </c>
      <c r="C191" s="34">
        <v>0.27</v>
      </c>
      <c r="D191" s="34">
        <v>0.17</v>
      </c>
      <c r="E191" s="34">
        <v>0.18</v>
      </c>
      <c r="F191" s="34">
        <v>0.24</v>
      </c>
      <c r="G191" s="34">
        <v>0.11</v>
      </c>
      <c r="H191" s="34">
        <v>0.19</v>
      </c>
      <c r="I191" s="34">
        <v>-0.13</v>
      </c>
    </row>
    <row r="192" spans="1:9" x14ac:dyDescent="0.3">
      <c r="A192" s="31" t="s">
        <v>112</v>
      </c>
      <c r="B192" s="30">
        <v>0.28000000000000003</v>
      </c>
      <c r="C192" s="30">
        <v>0.33</v>
      </c>
      <c r="D192" s="30">
        <v>0.18</v>
      </c>
      <c r="E192" s="30">
        <v>0.16</v>
      </c>
      <c r="F192" s="30">
        <v>0.25</v>
      </c>
      <c r="G192" s="30">
        <v>0.12</v>
      </c>
      <c r="H192" s="30">
        <v>0.19</v>
      </c>
      <c r="I192" s="30">
        <v>-0.1</v>
      </c>
    </row>
    <row r="193" spans="1:9" x14ac:dyDescent="0.3">
      <c r="A193" s="31" t="s">
        <v>113</v>
      </c>
      <c r="B193" s="30">
        <v>7.0000000000000007E-2</v>
      </c>
      <c r="C193" s="30">
        <v>0.17</v>
      </c>
      <c r="D193" s="30">
        <v>0.18</v>
      </c>
      <c r="E193" s="30">
        <v>0.23</v>
      </c>
      <c r="F193" s="30">
        <v>0.23</v>
      </c>
      <c r="G193" s="30">
        <v>0.08</v>
      </c>
      <c r="H193" s="30">
        <v>0.19</v>
      </c>
      <c r="I193" s="30">
        <v>-0.21</v>
      </c>
    </row>
    <row r="194" spans="1:9" x14ac:dyDescent="0.3">
      <c r="A194" s="31" t="s">
        <v>114</v>
      </c>
      <c r="B194" s="30">
        <v>0.01</v>
      </c>
      <c r="C194" s="30">
        <v>7.0000000000000007E-2</v>
      </c>
      <c r="D194" s="30">
        <v>0.03</v>
      </c>
      <c r="E194" s="30">
        <v>-0.01</v>
      </c>
      <c r="F194" s="30">
        <v>0.08</v>
      </c>
      <c r="G194" s="30">
        <v>0.11</v>
      </c>
      <c r="H194" s="30">
        <v>0.26</v>
      </c>
      <c r="I194" s="30">
        <v>-0.06</v>
      </c>
    </row>
    <row r="195" spans="1:9" x14ac:dyDescent="0.3">
      <c r="A195" s="33" t="s">
        <v>105</v>
      </c>
      <c r="B195" s="34">
        <v>0</v>
      </c>
      <c r="C195" s="34">
        <v>0</v>
      </c>
      <c r="D195" s="34">
        <v>0.13</v>
      </c>
      <c r="E195" s="34">
        <v>0.1</v>
      </c>
      <c r="F195" s="34">
        <v>0.13</v>
      </c>
      <c r="G195" s="34">
        <v>0.01</v>
      </c>
      <c r="H195" s="34">
        <v>0.08</v>
      </c>
      <c r="I195" s="34">
        <v>0.16</v>
      </c>
    </row>
    <row r="196" spans="1:9" x14ac:dyDescent="0.3">
      <c r="A196" s="31" t="s">
        <v>112</v>
      </c>
      <c r="B196" s="30">
        <v>0</v>
      </c>
      <c r="C196" s="30">
        <v>0</v>
      </c>
      <c r="D196" s="30">
        <v>0.16</v>
      </c>
      <c r="E196" s="30">
        <v>0.09</v>
      </c>
      <c r="F196" s="30">
        <v>0.12</v>
      </c>
      <c r="G196" s="30">
        <v>0</v>
      </c>
      <c r="H196" s="30">
        <v>0.08</v>
      </c>
      <c r="I196" s="30">
        <v>0.17</v>
      </c>
    </row>
    <row r="197" spans="1:9" x14ac:dyDescent="0.3">
      <c r="A197" s="31" t="s">
        <v>113</v>
      </c>
      <c r="B197" s="30">
        <v>0</v>
      </c>
      <c r="C197" s="30">
        <v>0</v>
      </c>
      <c r="D197" s="30">
        <v>0.09</v>
      </c>
      <c r="E197" s="30">
        <v>0.15</v>
      </c>
      <c r="F197" s="30">
        <v>0.15</v>
      </c>
      <c r="G197" s="30">
        <v>0.03</v>
      </c>
      <c r="H197" s="30">
        <v>0.1</v>
      </c>
      <c r="I197" s="30">
        <v>0.12</v>
      </c>
    </row>
    <row r="198" spans="1:9" x14ac:dyDescent="0.3">
      <c r="A198" s="31" t="s">
        <v>114</v>
      </c>
      <c r="B198" s="30">
        <v>0</v>
      </c>
      <c r="C198" s="30">
        <v>0</v>
      </c>
      <c r="D198" s="30">
        <v>-0.01</v>
      </c>
      <c r="E198" s="30">
        <v>-0.08</v>
      </c>
      <c r="F198" s="30">
        <v>0.08</v>
      </c>
      <c r="G198" s="30">
        <v>-0.04</v>
      </c>
      <c r="H198" s="30">
        <v>-0.09</v>
      </c>
      <c r="I198" s="30">
        <v>0.28000000000000003</v>
      </c>
    </row>
    <row r="199" spans="1:9" x14ac:dyDescent="0.3">
      <c r="A199" s="33" t="s">
        <v>106</v>
      </c>
      <c r="B199" s="34">
        <v>-0.02</v>
      </c>
      <c r="C199" s="34">
        <v>-0.3</v>
      </c>
      <c r="D199" s="34">
        <v>0.02</v>
      </c>
      <c r="E199" s="34">
        <v>0.12</v>
      </c>
      <c r="F199" s="34">
        <v>-0.53</v>
      </c>
      <c r="G199" s="34">
        <v>0.26</v>
      </c>
      <c r="H199" s="34">
        <v>-0.17</v>
      </c>
      <c r="I199" s="34">
        <v>3.02</v>
      </c>
    </row>
    <row r="200" spans="1:9" x14ac:dyDescent="0.3">
      <c r="A200" s="47" t="s">
        <v>102</v>
      </c>
      <c r="B200" s="36">
        <v>0.14000000000000001</v>
      </c>
      <c r="C200" s="36">
        <v>0.13</v>
      </c>
      <c r="D200" s="36">
        <v>0.08</v>
      </c>
      <c r="E200" s="36">
        <v>0.05</v>
      </c>
      <c r="F200" s="36">
        <v>0.11</v>
      </c>
      <c r="G200" s="36">
        <v>-0.02</v>
      </c>
      <c r="H200" s="36">
        <v>0.17</v>
      </c>
      <c r="I200" s="36">
        <v>0.06</v>
      </c>
    </row>
    <row r="201" spans="1:9" x14ac:dyDescent="0.3">
      <c r="A201" s="33" t="s">
        <v>103</v>
      </c>
      <c r="B201" s="34">
        <v>0.21</v>
      </c>
      <c r="C201" s="34">
        <v>0.02</v>
      </c>
      <c r="D201" s="34">
        <v>0.06</v>
      </c>
      <c r="E201" s="34">
        <v>-0.11</v>
      </c>
      <c r="F201" s="34">
        <v>0.03</v>
      </c>
      <c r="G201" s="34">
        <v>-0.01</v>
      </c>
      <c r="H201" s="34">
        <v>0.16</v>
      </c>
      <c r="I201" s="34">
        <v>7.0000000000000007E-2</v>
      </c>
    </row>
    <row r="202" spans="1:9" x14ac:dyDescent="0.3">
      <c r="A202" s="31" t="s">
        <v>112</v>
      </c>
      <c r="B202" s="30">
        <v>0</v>
      </c>
      <c r="C202" s="30">
        <v>0</v>
      </c>
      <c r="D202" s="30">
        <v>0</v>
      </c>
      <c r="E202" s="30">
        <v>0</v>
      </c>
      <c r="F202" s="30">
        <v>0.05</v>
      </c>
      <c r="G202" s="30">
        <v>0.01</v>
      </c>
      <c r="H202" s="30">
        <v>0.17</v>
      </c>
      <c r="I202" s="30">
        <v>0.06</v>
      </c>
    </row>
    <row r="203" spans="1:9" x14ac:dyDescent="0.3">
      <c r="A203" s="31" t="s">
        <v>113</v>
      </c>
      <c r="B203" s="30">
        <v>0</v>
      </c>
      <c r="C203" s="30">
        <v>0</v>
      </c>
      <c r="D203" s="30">
        <v>0</v>
      </c>
      <c r="E203" s="30">
        <v>0</v>
      </c>
      <c r="F203" s="30">
        <v>-0.17</v>
      </c>
      <c r="G203" s="30">
        <v>-0.22</v>
      </c>
      <c r="H203" s="30">
        <v>0.13</v>
      </c>
      <c r="I203" s="30">
        <v>-0.03</v>
      </c>
    </row>
    <row r="204" spans="1:9" x14ac:dyDescent="0.3">
      <c r="A204" s="31" t="s">
        <v>114</v>
      </c>
      <c r="B204" s="30">
        <v>0</v>
      </c>
      <c r="C204" s="30">
        <v>0</v>
      </c>
      <c r="D204" s="30">
        <v>0</v>
      </c>
      <c r="E204" s="30">
        <v>0</v>
      </c>
      <c r="F204" s="30">
        <v>-0.13</v>
      </c>
      <c r="G204" s="30">
        <v>0.08</v>
      </c>
      <c r="H204" s="30">
        <v>0.14000000000000001</v>
      </c>
      <c r="I204" s="30">
        <v>-0.16</v>
      </c>
    </row>
    <row r="205" spans="1:9" x14ac:dyDescent="0.3">
      <c r="A205" s="31" t="s">
        <v>120</v>
      </c>
      <c r="B205" s="30">
        <v>0</v>
      </c>
      <c r="C205" s="30">
        <v>0</v>
      </c>
      <c r="D205" s="30">
        <v>0</v>
      </c>
      <c r="E205" s="30">
        <v>0</v>
      </c>
      <c r="F205" s="30">
        <v>0.04</v>
      </c>
      <c r="G205" s="30">
        <v>-0.14000000000000001</v>
      </c>
      <c r="H205" s="30">
        <v>-0.01</v>
      </c>
      <c r="I205" s="30">
        <v>0.42</v>
      </c>
    </row>
    <row r="206" spans="1:9" x14ac:dyDescent="0.3">
      <c r="A206" s="29" t="s">
        <v>107</v>
      </c>
      <c r="B206" s="30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</row>
    <row r="207" spans="1:9" ht="15" thickBot="1" x14ac:dyDescent="0.35">
      <c r="A207" s="32" t="s">
        <v>104</v>
      </c>
      <c r="B207" s="35">
        <v>0.14000000000000001</v>
      </c>
      <c r="C207" s="35">
        <v>0.12</v>
      </c>
      <c r="D207" s="35">
        <v>0.08</v>
      </c>
      <c r="E207" s="35">
        <v>0.04</v>
      </c>
      <c r="F207" s="35">
        <v>0.11</v>
      </c>
      <c r="G207" s="35">
        <v>-0.02</v>
      </c>
      <c r="H207" s="35">
        <v>0.17</v>
      </c>
      <c r="I207" s="35">
        <v>0.06</v>
      </c>
    </row>
    <row r="208" spans="1:9" ht="15" thickTop="1" x14ac:dyDescent="0.3"/>
    <row r="209" spans="1:9" x14ac:dyDescent="0.3">
      <c r="A209" t="s">
        <v>142</v>
      </c>
      <c r="B209" s="45">
        <f t="shared" ref="B209:I209" si="35">B146+B179</f>
        <v>4839</v>
      </c>
      <c r="C209" s="45">
        <f t="shared" si="35"/>
        <v>5291</v>
      </c>
      <c r="D209" s="45">
        <f t="shared" si="35"/>
        <v>5651</v>
      </c>
      <c r="E209" s="45">
        <f t="shared" si="35"/>
        <v>5126</v>
      </c>
      <c r="F209" s="45">
        <f t="shared" si="35"/>
        <v>5555</v>
      </c>
      <c r="G209" s="45">
        <f t="shared" si="35"/>
        <v>3697</v>
      </c>
      <c r="H209" s="45">
        <f t="shared" si="35"/>
        <v>7667</v>
      </c>
      <c r="I209" s="45">
        <f t="shared" si="35"/>
        <v>7573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95E8-6154-4B5F-B84F-98CFAEE1907C}">
  <dimension ref="A1:G54"/>
  <sheetViews>
    <sheetView topLeftCell="A4" workbookViewId="0">
      <selection activeCell="G4" sqref="G4"/>
    </sheetView>
  </sheetViews>
  <sheetFormatPr defaultRowHeight="14.4" x14ac:dyDescent="0.3"/>
  <cols>
    <col min="1" max="1" width="50.44140625" customWidth="1"/>
    <col min="6" max="6" width="9.6640625" customWidth="1"/>
    <col min="7" max="7" width="51.5546875" customWidth="1"/>
  </cols>
  <sheetData>
    <row r="1" spans="1:7" ht="60" customHeight="1" x14ac:dyDescent="0.3">
      <c r="A1" s="15" t="s">
        <v>115</v>
      </c>
      <c r="B1" s="37">
        <v>2023</v>
      </c>
      <c r="C1" s="37">
        <f t="shared" ref="C1:F1" si="0">+B1+1</f>
        <v>2024</v>
      </c>
      <c r="D1" s="37">
        <f t="shared" si="0"/>
        <v>2025</v>
      </c>
      <c r="E1" s="37">
        <f t="shared" si="0"/>
        <v>2026</v>
      </c>
      <c r="F1" s="37">
        <f t="shared" si="0"/>
        <v>2027</v>
      </c>
      <c r="G1" s="37" t="s">
        <v>212</v>
      </c>
    </row>
    <row r="2" spans="1:7" x14ac:dyDescent="0.3">
      <c r="A2" s="67" t="s">
        <v>145</v>
      </c>
      <c r="B2" s="67"/>
      <c r="C2" s="67"/>
      <c r="D2" s="67"/>
      <c r="E2" s="67"/>
      <c r="F2" s="67"/>
      <c r="G2" s="67"/>
    </row>
    <row r="3" spans="1:7" x14ac:dyDescent="0.3">
      <c r="A3" s="68" t="s">
        <v>213</v>
      </c>
      <c r="B3" s="69"/>
      <c r="C3" s="69"/>
      <c r="D3" s="69"/>
      <c r="E3" s="69"/>
      <c r="F3" s="69"/>
      <c r="G3" s="69"/>
    </row>
    <row r="4" spans="1:7" x14ac:dyDescent="0.3">
      <c r="A4" s="10" t="s">
        <v>99</v>
      </c>
    </row>
    <row r="5" spans="1:7" ht="57.6" x14ac:dyDescent="0.3">
      <c r="A5" s="11" t="s">
        <v>112</v>
      </c>
      <c r="B5" s="70">
        <v>5.3999999999999999E-2</v>
      </c>
      <c r="C5" s="70">
        <v>5.3999999999999999E-2</v>
      </c>
      <c r="D5" s="70">
        <v>0.08</v>
      </c>
      <c r="E5" s="70">
        <v>0.1</v>
      </c>
      <c r="F5" s="70">
        <v>5.3999999999999999E-2</v>
      </c>
      <c r="G5" s="19" t="s">
        <v>214</v>
      </c>
    </row>
    <row r="6" spans="1:7" ht="52.5" customHeight="1" x14ac:dyDescent="0.3">
      <c r="A6" s="11" t="s">
        <v>113</v>
      </c>
      <c r="B6" s="70">
        <v>0.1</v>
      </c>
      <c r="C6" s="70">
        <v>0.105</v>
      </c>
      <c r="D6" s="70">
        <v>0.11</v>
      </c>
      <c r="E6" s="70">
        <v>0.115</v>
      </c>
      <c r="F6" s="70">
        <v>0.12</v>
      </c>
      <c r="G6" s="19" t="s">
        <v>215</v>
      </c>
    </row>
    <row r="7" spans="1:7" ht="57.6" x14ac:dyDescent="0.3">
      <c r="A7" s="11" t="s">
        <v>114</v>
      </c>
      <c r="B7" s="70">
        <v>0.01</v>
      </c>
      <c r="C7" s="70">
        <v>0.01</v>
      </c>
      <c r="D7" s="70">
        <v>0.04</v>
      </c>
      <c r="E7" s="70">
        <v>0.04</v>
      </c>
      <c r="F7" s="70">
        <v>0.01</v>
      </c>
      <c r="G7" s="19" t="s">
        <v>216</v>
      </c>
    </row>
    <row r="8" spans="1:7" ht="28.8" x14ac:dyDescent="0.3">
      <c r="A8" s="11" t="s">
        <v>217</v>
      </c>
      <c r="B8" s="70">
        <v>0.3</v>
      </c>
      <c r="C8" s="70">
        <v>0.3</v>
      </c>
      <c r="D8" s="70">
        <v>0.3</v>
      </c>
      <c r="E8" s="70">
        <v>0.3</v>
      </c>
      <c r="F8" s="70">
        <v>0.3</v>
      </c>
      <c r="G8" s="19" t="s">
        <v>221</v>
      </c>
    </row>
    <row r="9" spans="1:7" ht="28.8" x14ac:dyDescent="0.3">
      <c r="A9" s="11" t="s">
        <v>218</v>
      </c>
      <c r="B9" s="70">
        <v>0.2</v>
      </c>
      <c r="C9" s="70">
        <v>0.2</v>
      </c>
      <c r="D9" s="70">
        <v>0.2</v>
      </c>
      <c r="E9" s="70">
        <v>0.2</v>
      </c>
      <c r="F9" s="70">
        <v>0.2</v>
      </c>
      <c r="G9" s="19" t="s">
        <v>222</v>
      </c>
    </row>
    <row r="10" spans="1:7" ht="28.8" x14ac:dyDescent="0.3">
      <c r="A10" s="11" t="s">
        <v>219</v>
      </c>
      <c r="B10" s="70">
        <v>0.05</v>
      </c>
      <c r="C10" s="70">
        <v>0.05</v>
      </c>
      <c r="D10" s="70">
        <v>0.05</v>
      </c>
      <c r="E10" s="70">
        <v>0.05</v>
      </c>
      <c r="F10" s="70">
        <v>0.05</v>
      </c>
      <c r="G10" s="19" t="s">
        <v>223</v>
      </c>
    </row>
    <row r="11" spans="1:7" ht="28.8" x14ac:dyDescent="0.3">
      <c r="A11" s="11" t="s">
        <v>220</v>
      </c>
      <c r="B11" s="70">
        <v>8.9999999999999993E-3</v>
      </c>
      <c r="C11" s="70">
        <v>8.9999999999999993E-3</v>
      </c>
      <c r="D11" s="70">
        <v>8.9999999999999993E-3</v>
      </c>
      <c r="E11" s="70">
        <v>8.9999999999999993E-3</v>
      </c>
      <c r="F11" s="70">
        <v>8.9999999999999993E-3</v>
      </c>
      <c r="G11" s="19" t="s">
        <v>224</v>
      </c>
    </row>
    <row r="12" spans="1:7" x14ac:dyDescent="0.3">
      <c r="A12" s="10" t="s">
        <v>100</v>
      </c>
    </row>
    <row r="13" spans="1:7" ht="57.6" x14ac:dyDescent="0.3">
      <c r="A13" s="11" t="s">
        <v>112</v>
      </c>
      <c r="B13" s="70">
        <v>0.1</v>
      </c>
      <c r="C13" s="70">
        <v>0.1</v>
      </c>
      <c r="D13" s="70">
        <v>0.1</v>
      </c>
      <c r="E13" s="70">
        <v>0.12</v>
      </c>
      <c r="F13" s="70">
        <v>0.11</v>
      </c>
      <c r="G13" s="19" t="s">
        <v>226</v>
      </c>
    </row>
    <row r="14" spans="1:7" ht="28.8" x14ac:dyDescent="0.3">
      <c r="A14" s="11" t="s">
        <v>113</v>
      </c>
      <c r="B14" s="70">
        <v>0.17</v>
      </c>
      <c r="C14" s="70">
        <v>0.17</v>
      </c>
      <c r="D14" s="70">
        <v>0.17</v>
      </c>
      <c r="E14" s="70">
        <v>0.17</v>
      </c>
      <c r="F14" s="70">
        <v>0.17</v>
      </c>
      <c r="G14" s="19" t="s">
        <v>225</v>
      </c>
    </row>
    <row r="15" spans="1:7" ht="57.6" x14ac:dyDescent="0.3">
      <c r="A15" s="11" t="s">
        <v>114</v>
      </c>
      <c r="B15" s="70">
        <v>0.185</v>
      </c>
      <c r="C15" s="70">
        <v>0.185</v>
      </c>
      <c r="D15" s="70">
        <v>0.19</v>
      </c>
      <c r="E15" s="70">
        <v>0.19</v>
      </c>
      <c r="F15" s="70">
        <v>0.19500000000000001</v>
      </c>
      <c r="G15" s="19" t="s">
        <v>227</v>
      </c>
    </row>
    <row r="16" spans="1:7" ht="28.8" x14ac:dyDescent="0.3">
      <c r="A16" s="11" t="s">
        <v>217</v>
      </c>
      <c r="B16" s="70">
        <v>0.28499999999999998</v>
      </c>
      <c r="C16" s="70">
        <v>0.28499999999999998</v>
      </c>
      <c r="D16" s="70">
        <v>0.28499999999999998</v>
      </c>
      <c r="E16" s="70">
        <v>0.28499999999999998</v>
      </c>
      <c r="F16" s="70">
        <v>0.28499999999999998</v>
      </c>
      <c r="G16" s="19" t="s">
        <v>221</v>
      </c>
    </row>
    <row r="17" spans="1:7" ht="28.8" x14ac:dyDescent="0.3">
      <c r="A17" s="11" t="s">
        <v>218</v>
      </c>
      <c r="B17" s="70">
        <v>0.15</v>
      </c>
      <c r="C17" s="70">
        <v>0.15</v>
      </c>
      <c r="D17" s="70">
        <v>0.15</v>
      </c>
      <c r="E17" s="70">
        <v>0.15</v>
      </c>
      <c r="F17" s="70">
        <v>0.15</v>
      </c>
      <c r="G17" s="19" t="s">
        <v>228</v>
      </c>
    </row>
    <row r="18" spans="1:7" ht="28.8" x14ac:dyDescent="0.3">
      <c r="A18" s="11" t="s">
        <v>219</v>
      </c>
      <c r="B18" s="70">
        <v>0.09</v>
      </c>
      <c r="C18" s="70">
        <v>0.09</v>
      </c>
      <c r="D18" s="70">
        <v>0.09</v>
      </c>
      <c r="E18" s="70">
        <v>0.09</v>
      </c>
      <c r="F18" s="70">
        <v>0.09</v>
      </c>
      <c r="G18" s="19" t="s">
        <v>229</v>
      </c>
    </row>
    <row r="19" spans="1:7" x14ac:dyDescent="0.3">
      <c r="A19" s="11" t="s">
        <v>220</v>
      </c>
      <c r="B19" s="70">
        <v>1.7000000000000001E-2</v>
      </c>
      <c r="C19" s="70">
        <v>1.7000000000000001E-2</v>
      </c>
      <c r="D19" s="70">
        <v>1.7000000000000001E-2</v>
      </c>
      <c r="E19" s="70">
        <v>1.7000000000000001E-2</v>
      </c>
      <c r="F19" s="70">
        <v>1.7000000000000001E-2</v>
      </c>
      <c r="G19" s="19" t="s">
        <v>230</v>
      </c>
    </row>
    <row r="20" spans="1:7" x14ac:dyDescent="0.3">
      <c r="A20" s="10" t="s">
        <v>101</v>
      </c>
    </row>
    <row r="21" spans="1:7" ht="72" x14ac:dyDescent="0.3">
      <c r="A21" s="11" t="s">
        <v>112</v>
      </c>
      <c r="B21" s="70">
        <v>0.12</v>
      </c>
      <c r="C21" s="70">
        <v>0.13500000000000001</v>
      </c>
      <c r="D21" s="70">
        <v>0.15</v>
      </c>
      <c r="E21" s="70">
        <v>0.16500000000000001</v>
      </c>
      <c r="F21" s="70">
        <v>0.18</v>
      </c>
      <c r="G21" s="19" t="s">
        <v>231</v>
      </c>
    </row>
    <row r="22" spans="1:7" ht="72" x14ac:dyDescent="0.3">
      <c r="A22" s="11" t="s">
        <v>113</v>
      </c>
      <c r="B22" s="70">
        <v>0.11</v>
      </c>
      <c r="C22" s="70">
        <v>0.125</v>
      </c>
      <c r="D22" s="70">
        <v>0.14000000000000001</v>
      </c>
      <c r="E22" s="70">
        <v>0.155</v>
      </c>
      <c r="F22" s="70">
        <v>0.17</v>
      </c>
      <c r="G22" s="19" t="s">
        <v>231</v>
      </c>
    </row>
    <row r="23" spans="1:7" ht="72" x14ac:dyDescent="0.3">
      <c r="A23" s="11" t="s">
        <v>114</v>
      </c>
      <c r="B23" s="70">
        <v>0.1</v>
      </c>
      <c r="C23" s="70">
        <v>0.115</v>
      </c>
      <c r="D23" s="70">
        <v>0.13</v>
      </c>
      <c r="E23" s="70">
        <v>0.14499999999999999</v>
      </c>
      <c r="F23" s="70">
        <v>0.16</v>
      </c>
      <c r="G23" s="19" t="s">
        <v>231</v>
      </c>
    </row>
    <row r="24" spans="1:7" ht="28.8" x14ac:dyDescent="0.3">
      <c r="A24" s="11" t="s">
        <v>217</v>
      </c>
      <c r="B24" s="70">
        <v>0.34</v>
      </c>
      <c r="C24" s="70">
        <v>0.35</v>
      </c>
      <c r="D24" s="70">
        <v>0.36</v>
      </c>
      <c r="E24" s="70">
        <v>0.37</v>
      </c>
      <c r="F24" s="70">
        <v>0.38</v>
      </c>
      <c r="G24" s="19" t="s">
        <v>232</v>
      </c>
    </row>
    <row r="25" spans="1:7" ht="43.2" x14ac:dyDescent="0.3">
      <c r="A25" s="11" t="s">
        <v>218</v>
      </c>
      <c r="B25" s="70">
        <v>0.186</v>
      </c>
      <c r="C25" s="70">
        <v>0.186</v>
      </c>
      <c r="D25" s="70">
        <v>0.186</v>
      </c>
      <c r="E25" s="70">
        <v>0.186</v>
      </c>
      <c r="F25" s="70">
        <v>0.186</v>
      </c>
      <c r="G25" s="19" t="s">
        <v>233</v>
      </c>
    </row>
    <row r="26" spans="1:7" ht="28.8" x14ac:dyDescent="0.3">
      <c r="A26" s="11" t="s">
        <v>219</v>
      </c>
      <c r="B26" s="70">
        <v>3.9E-2</v>
      </c>
      <c r="C26" s="70">
        <v>3.9E-2</v>
      </c>
      <c r="D26" s="70">
        <v>3.9E-2</v>
      </c>
      <c r="E26" s="70">
        <v>3.9E-2</v>
      </c>
      <c r="F26" s="70">
        <v>3.9E-2</v>
      </c>
      <c r="G26" s="19" t="s">
        <v>235</v>
      </c>
    </row>
    <row r="27" spans="1:7" ht="43.2" x14ac:dyDescent="0.3">
      <c r="A27" s="11" t="s">
        <v>220</v>
      </c>
      <c r="B27" s="70">
        <v>1.2E-2</v>
      </c>
      <c r="C27" s="70">
        <v>1.2E-2</v>
      </c>
      <c r="D27" s="70">
        <v>1.2E-2</v>
      </c>
      <c r="E27" s="70">
        <v>1.2E-2</v>
      </c>
      <c r="F27" s="70">
        <v>1.2E-2</v>
      </c>
      <c r="G27" s="19" t="s">
        <v>234</v>
      </c>
    </row>
    <row r="28" spans="1:7" x14ac:dyDescent="0.3">
      <c r="A28" s="10" t="s">
        <v>105</v>
      </c>
    </row>
    <row r="29" spans="1:7" x14ac:dyDescent="0.3">
      <c r="A29" s="11" t="s">
        <v>112</v>
      </c>
      <c r="B29" s="70">
        <v>0.18</v>
      </c>
      <c r="C29" s="70">
        <v>0.18</v>
      </c>
      <c r="D29" s="70">
        <v>0.18</v>
      </c>
      <c r="E29" s="70">
        <v>0.18</v>
      </c>
      <c r="F29" s="70">
        <v>0.18</v>
      </c>
    </row>
    <row r="30" spans="1:7" x14ac:dyDescent="0.3">
      <c r="A30" s="11" t="s">
        <v>113</v>
      </c>
      <c r="B30" s="70">
        <v>0.14000000000000001</v>
      </c>
      <c r="C30" s="70">
        <v>0.14499999999999999</v>
      </c>
      <c r="D30" s="70">
        <v>0.15</v>
      </c>
      <c r="E30" s="70">
        <v>0.16</v>
      </c>
      <c r="F30" s="70">
        <v>0.17499999999999999</v>
      </c>
    </row>
    <row r="31" spans="1:7" x14ac:dyDescent="0.3">
      <c r="A31" s="11" t="s">
        <v>114</v>
      </c>
      <c r="B31" s="70">
        <v>0.28999999999999998</v>
      </c>
      <c r="C31" s="70">
        <v>0.3</v>
      </c>
      <c r="D31" s="70">
        <v>0.31</v>
      </c>
      <c r="E31" s="70">
        <v>0.33</v>
      </c>
      <c r="F31" s="70">
        <v>0.27</v>
      </c>
    </row>
    <row r="32" spans="1:7" x14ac:dyDescent="0.3">
      <c r="A32" s="11" t="s">
        <v>217</v>
      </c>
      <c r="B32" s="70">
        <v>0.35</v>
      </c>
      <c r="C32" s="70">
        <v>0.37</v>
      </c>
      <c r="D32" s="70">
        <v>0.39</v>
      </c>
      <c r="E32" s="70">
        <v>0.41</v>
      </c>
      <c r="F32" s="70">
        <v>0.43</v>
      </c>
    </row>
    <row r="33" spans="1:7" x14ac:dyDescent="0.3">
      <c r="A33" s="11" t="s">
        <v>218</v>
      </c>
      <c r="B33" s="70">
        <v>0.155</v>
      </c>
      <c r="C33" s="70">
        <v>0.155</v>
      </c>
      <c r="D33" s="70">
        <v>0.155</v>
      </c>
      <c r="E33" s="70">
        <v>0.155</v>
      </c>
      <c r="F33" s="70">
        <v>0.155</v>
      </c>
    </row>
    <row r="34" spans="1:7" x14ac:dyDescent="0.3">
      <c r="A34" s="11" t="s">
        <v>219</v>
      </c>
      <c r="B34" s="70">
        <v>0.04</v>
      </c>
      <c r="C34" s="70">
        <v>0.04</v>
      </c>
      <c r="D34" s="70">
        <v>0.04</v>
      </c>
      <c r="E34" s="70">
        <v>0.04</v>
      </c>
      <c r="F34" s="70">
        <v>0.04</v>
      </c>
      <c r="G34" t="s">
        <v>143</v>
      </c>
    </row>
    <row r="35" spans="1:7" x14ac:dyDescent="0.3">
      <c r="A35" s="11" t="s">
        <v>220</v>
      </c>
      <c r="B35" s="70">
        <v>1.0999999999999999E-2</v>
      </c>
      <c r="C35" s="70">
        <v>1.0999999999999999E-2</v>
      </c>
      <c r="D35" s="70">
        <v>1.0999999999999999E-2</v>
      </c>
      <c r="E35" s="70">
        <v>1.0999999999999999E-2</v>
      </c>
      <c r="F35" s="70">
        <v>1.0999999999999999E-2</v>
      </c>
    </row>
    <row r="36" spans="1:7" x14ac:dyDescent="0.3">
      <c r="A36" s="10" t="s">
        <v>106</v>
      </c>
      <c r="B36" s="70">
        <v>0.02</v>
      </c>
      <c r="C36" s="70">
        <v>0.02</v>
      </c>
      <c r="D36" s="70">
        <v>2.5000000000000001E-2</v>
      </c>
      <c r="E36" s="70">
        <v>0.03</v>
      </c>
      <c r="F36" s="70">
        <v>0.02</v>
      </c>
      <c r="G36" t="s">
        <v>141</v>
      </c>
    </row>
    <row r="37" spans="1:7" x14ac:dyDescent="0.3">
      <c r="A37" s="11" t="s">
        <v>217</v>
      </c>
      <c r="B37" s="70">
        <v>-20</v>
      </c>
      <c r="C37" s="70">
        <v>-20</v>
      </c>
      <c r="D37" s="70">
        <v>-20</v>
      </c>
      <c r="E37" s="70">
        <v>-20</v>
      </c>
      <c r="F37" s="70">
        <v>-20</v>
      </c>
    </row>
    <row r="38" spans="1:7" x14ac:dyDescent="0.3">
      <c r="A38" s="11" t="s">
        <v>218</v>
      </c>
      <c r="B38" s="70">
        <v>0.28000000000000003</v>
      </c>
      <c r="C38" s="70">
        <v>0.28000000000000003</v>
      </c>
      <c r="D38" s="70">
        <v>0.28000000000000003</v>
      </c>
      <c r="E38" s="70">
        <v>0.28000000000000003</v>
      </c>
      <c r="F38" s="70">
        <v>0.28000000000000003</v>
      </c>
    </row>
    <row r="39" spans="1:7" x14ac:dyDescent="0.3">
      <c r="A39" s="11" t="s">
        <v>219</v>
      </c>
      <c r="B39" s="70">
        <v>6.5</v>
      </c>
      <c r="C39" s="70">
        <v>6.5</v>
      </c>
      <c r="D39" s="70">
        <v>6.5</v>
      </c>
      <c r="E39" s="70">
        <v>6.5</v>
      </c>
      <c r="F39" s="70">
        <v>6.5</v>
      </c>
      <c r="G39" t="s">
        <v>143</v>
      </c>
    </row>
    <row r="40" spans="1:7" x14ac:dyDescent="0.3">
      <c r="A40" s="11" t="s">
        <v>220</v>
      </c>
      <c r="B40" s="70">
        <v>2</v>
      </c>
      <c r="C40" s="70">
        <v>2</v>
      </c>
      <c r="D40" s="70">
        <v>2</v>
      </c>
      <c r="E40" s="70">
        <v>2</v>
      </c>
      <c r="F40" s="70">
        <v>2</v>
      </c>
    </row>
    <row r="41" spans="1:7" x14ac:dyDescent="0.3">
      <c r="A41" s="10" t="s">
        <v>103</v>
      </c>
    </row>
    <row r="42" spans="1:7" x14ac:dyDescent="0.3">
      <c r="A42" s="11" t="s">
        <v>112</v>
      </c>
      <c r="B42" s="70">
        <v>7.0000000000000007E-2</v>
      </c>
      <c r="C42" s="70">
        <v>7.4999999999999997E-2</v>
      </c>
      <c r="D42" s="70">
        <v>0.08</v>
      </c>
      <c r="E42" s="70">
        <v>0.09</v>
      </c>
      <c r="F42" s="70">
        <v>0.1</v>
      </c>
    </row>
    <row r="43" spans="1:7" x14ac:dyDescent="0.3">
      <c r="A43" s="11" t="s">
        <v>113</v>
      </c>
      <c r="B43" s="70">
        <v>0.02</v>
      </c>
      <c r="C43" s="70">
        <v>0.02</v>
      </c>
      <c r="D43" s="70">
        <v>0.02</v>
      </c>
      <c r="E43" s="70">
        <v>0.02</v>
      </c>
      <c r="F43" s="70">
        <v>0.02</v>
      </c>
      <c r="G43" s="70"/>
    </row>
    <row r="44" spans="1:7" x14ac:dyDescent="0.3">
      <c r="A44" s="11" t="s">
        <v>114</v>
      </c>
      <c r="B44" s="70">
        <v>0.1</v>
      </c>
      <c r="C44" s="70">
        <v>0.1</v>
      </c>
      <c r="D44" s="70">
        <v>0.1</v>
      </c>
      <c r="E44" s="70">
        <v>0.12</v>
      </c>
      <c r="F44" s="70">
        <v>0.13</v>
      </c>
    </row>
    <row r="45" spans="1:7" x14ac:dyDescent="0.3">
      <c r="A45" s="10" t="s">
        <v>120</v>
      </c>
      <c r="B45" s="70">
        <v>0.05</v>
      </c>
      <c r="C45" s="70">
        <v>0.06</v>
      </c>
      <c r="D45" s="70">
        <v>6.5000000000000002E-2</v>
      </c>
      <c r="E45" s="70">
        <v>7.0000000000000007E-2</v>
      </c>
      <c r="F45" s="70">
        <v>0.08</v>
      </c>
    </row>
    <row r="46" spans="1:7" x14ac:dyDescent="0.3">
      <c r="A46" s="11" t="s">
        <v>217</v>
      </c>
      <c r="B46" s="70">
        <v>0.3</v>
      </c>
      <c r="C46" s="70">
        <v>0.3</v>
      </c>
      <c r="D46" s="70">
        <v>0.3</v>
      </c>
      <c r="E46" s="70">
        <v>0.3</v>
      </c>
      <c r="F46" s="70">
        <v>0.3</v>
      </c>
    </row>
    <row r="47" spans="1:7" x14ac:dyDescent="0.3">
      <c r="A47" s="11" t="s">
        <v>218</v>
      </c>
      <c r="B47" s="70">
        <v>0.45</v>
      </c>
      <c r="C47" s="70">
        <v>0.45</v>
      </c>
      <c r="D47" s="70">
        <v>0.45</v>
      </c>
      <c r="E47" s="70">
        <v>0.45</v>
      </c>
      <c r="F47" s="70">
        <v>0.45</v>
      </c>
    </row>
    <row r="48" spans="1:7" x14ac:dyDescent="0.3">
      <c r="A48" s="11" t="s">
        <v>219</v>
      </c>
      <c r="B48" s="70">
        <v>0.02</v>
      </c>
      <c r="C48" s="70">
        <v>0.02</v>
      </c>
      <c r="D48" s="70">
        <v>0.02</v>
      </c>
      <c r="E48" s="70">
        <v>0.02</v>
      </c>
      <c r="F48" s="70">
        <v>0.02</v>
      </c>
    </row>
    <row r="49" spans="1:6" x14ac:dyDescent="0.3">
      <c r="A49" s="11" t="s">
        <v>220</v>
      </c>
      <c r="B49" s="70">
        <v>5.0000000000000001E-3</v>
      </c>
      <c r="C49" s="70">
        <v>5.0000000000000001E-3</v>
      </c>
      <c r="D49" s="70">
        <v>5.0000000000000001E-3</v>
      </c>
      <c r="E49" s="70">
        <v>5.0000000000000001E-3</v>
      </c>
      <c r="F49" s="70">
        <v>5.0000000000000001E-3</v>
      </c>
    </row>
    <row r="50" spans="1:6" x14ac:dyDescent="0.3">
      <c r="A50" s="10" t="s">
        <v>107</v>
      </c>
      <c r="B50" s="70">
        <v>2.5</v>
      </c>
      <c r="C50" s="70">
        <v>2.5</v>
      </c>
      <c r="D50" s="70">
        <v>2.5</v>
      </c>
      <c r="E50" s="70">
        <v>2.5</v>
      </c>
      <c r="F50" s="70">
        <v>2.5</v>
      </c>
    </row>
    <row r="51" spans="1:6" x14ac:dyDescent="0.3">
      <c r="A51" s="11" t="s">
        <v>217</v>
      </c>
      <c r="B51" s="70">
        <v>30</v>
      </c>
      <c r="C51" s="70">
        <v>30</v>
      </c>
      <c r="D51" s="70">
        <v>30</v>
      </c>
      <c r="E51" s="70">
        <v>30</v>
      </c>
      <c r="F51" s="70">
        <v>30</v>
      </c>
    </row>
    <row r="52" spans="1:6" x14ac:dyDescent="0.3">
      <c r="A52" s="11" t="s">
        <v>218</v>
      </c>
      <c r="B52" s="70">
        <v>7.6999999999999999E-2</v>
      </c>
      <c r="C52" s="70">
        <v>0.08</v>
      </c>
      <c r="D52" s="70">
        <v>0.09</v>
      </c>
      <c r="E52" s="70">
        <v>9.5000000000000001E-2</v>
      </c>
      <c r="F52" s="70">
        <v>0.1</v>
      </c>
    </row>
    <row r="53" spans="1:6" x14ac:dyDescent="0.3">
      <c r="A53" s="11" t="s">
        <v>219</v>
      </c>
      <c r="B53" s="70">
        <v>-20</v>
      </c>
      <c r="C53" s="70">
        <v>-20</v>
      </c>
      <c r="D53" s="70">
        <v>-20</v>
      </c>
      <c r="E53" s="70">
        <v>-20</v>
      </c>
      <c r="F53" s="70">
        <v>-20</v>
      </c>
    </row>
    <row r="54" spans="1:6" x14ac:dyDescent="0.3">
      <c r="A54" s="11" t="s">
        <v>220</v>
      </c>
      <c r="B54" s="70">
        <v>-0.5</v>
      </c>
      <c r="C54" s="70">
        <v>-0.5</v>
      </c>
      <c r="D54" s="70">
        <v>-0.5</v>
      </c>
      <c r="E54" s="70">
        <v>-0.5</v>
      </c>
      <c r="F54" s="70">
        <v>-0.5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6"/>
  <sheetViews>
    <sheetView tabSelected="1" topLeftCell="A176" zoomScale="85" zoomScaleNormal="85" workbookViewId="0">
      <selection activeCell="O178" sqref="O178"/>
    </sheetView>
  </sheetViews>
  <sheetFormatPr defaultRowHeight="14.4" x14ac:dyDescent="0.3"/>
  <cols>
    <col min="1" max="1" width="48.6640625" customWidth="1"/>
    <col min="2" max="14" width="11.6640625" customWidth="1"/>
  </cols>
  <sheetData>
    <row r="1" spans="1:14" ht="60" customHeight="1" x14ac:dyDescent="0.3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7">
        <f>+I1+1</f>
        <v>2023</v>
      </c>
      <c r="K1" s="37">
        <f t="shared" ref="K1:N1" si="1">+J1+1</f>
        <v>2024</v>
      </c>
      <c r="L1" s="37">
        <f t="shared" si="1"/>
        <v>2025</v>
      </c>
      <c r="M1" s="37">
        <f t="shared" si="1"/>
        <v>2026</v>
      </c>
      <c r="N1" s="37">
        <f t="shared" si="1"/>
        <v>2027</v>
      </c>
    </row>
    <row r="2" spans="1:14" x14ac:dyDescent="0.3">
      <c r="A2" s="38" t="s">
        <v>127</v>
      </c>
      <c r="B2" s="50"/>
      <c r="C2" s="38"/>
      <c r="D2" s="38"/>
      <c r="E2" s="38"/>
      <c r="F2" s="38"/>
      <c r="G2" s="38"/>
      <c r="H2" s="38"/>
      <c r="I2" s="38"/>
      <c r="J2" s="37"/>
      <c r="K2" s="37"/>
      <c r="L2" s="37"/>
      <c r="M2" s="37"/>
      <c r="N2" s="37"/>
    </row>
    <row r="3" spans="1:14" s="1" customFormat="1" x14ac:dyDescent="0.3">
      <c r="A3" s="39" t="s">
        <v>138</v>
      </c>
      <c r="B3" s="9">
        <f>+B21+B52+B83+B114+B145+B180+B199</f>
        <v>30601</v>
      </c>
      <c r="C3" s="9">
        <f t="shared" ref="C3:N3" si="2">+C21+C52+C83+C114+C145+C180+C199</f>
        <v>32376</v>
      </c>
      <c r="D3" s="9">
        <f t="shared" si="2"/>
        <v>34350</v>
      </c>
      <c r="E3" s="9">
        <f t="shared" si="2"/>
        <v>36397</v>
      </c>
      <c r="F3" s="9">
        <f t="shared" si="2"/>
        <v>39117</v>
      </c>
      <c r="G3" s="9">
        <f t="shared" si="2"/>
        <v>37403</v>
      </c>
      <c r="H3" s="9">
        <f t="shared" si="2"/>
        <v>44538</v>
      </c>
      <c r="I3" s="9">
        <f t="shared" si="2"/>
        <v>46710</v>
      </c>
      <c r="J3" s="9">
        <f>+J21+J52+J83+J114+J145+J180+J199</f>
        <v>51686.757807605674</v>
      </c>
      <c r="K3" s="9">
        <f t="shared" si="2"/>
        <v>57385.102255605678</v>
      </c>
      <c r="L3" s="9">
        <f t="shared" si="2"/>
        <v>64408.962873445678</v>
      </c>
      <c r="M3" s="9">
        <f t="shared" si="2"/>
        <v>73145.59127933468</v>
      </c>
      <c r="N3" s="9">
        <f t="shared" si="2"/>
        <v>82554.184835235719</v>
      </c>
    </row>
    <row r="4" spans="1:14" x14ac:dyDescent="0.3">
      <c r="A4" s="40" t="s">
        <v>128</v>
      </c>
      <c r="B4" s="44" t="str">
        <f>+IFERROR(B3/A3-1,"nm")</f>
        <v>nm</v>
      </c>
      <c r="C4" s="44">
        <f t="shared" ref="C4:H4" si="3">+IFERROR(C3/B3-1,"nm")</f>
        <v>5.8004640371229765E-2</v>
      </c>
      <c r="D4" s="44">
        <f t="shared" si="3"/>
        <v>6.0971089696071123E-2</v>
      </c>
      <c r="E4" s="44">
        <f t="shared" si="3"/>
        <v>5.95924308588065E-2</v>
      </c>
      <c r="F4" s="44">
        <f t="shared" si="3"/>
        <v>7.4731433909388079E-2</v>
      </c>
      <c r="G4" s="44">
        <f t="shared" si="3"/>
        <v>-4.3817266150267153E-2</v>
      </c>
      <c r="H4" s="44">
        <f t="shared" si="3"/>
        <v>0.19076009945726269</v>
      </c>
      <c r="I4" s="44">
        <f>+IFERROR(I3/H3-1,"nm")</f>
        <v>4.8767344739323759E-2</v>
      </c>
      <c r="J4" s="44">
        <f>+IFERROR(J3/I3-1,"nm")</f>
        <v>0.1065458747078929</v>
      </c>
      <c r="K4" s="44">
        <f t="shared" ref="K4:N4" si="4">+IFERROR(K3/J3-1,"nm")</f>
        <v>0.11024766670819308</v>
      </c>
      <c r="L4" s="44">
        <f t="shared" si="4"/>
        <v>0.12239867738762933</v>
      </c>
      <c r="M4" s="44">
        <f t="shared" si="4"/>
        <v>0.13564305363921503</v>
      </c>
      <c r="N4" s="44">
        <f t="shared" si="4"/>
        <v>0.1286283067966556</v>
      </c>
    </row>
    <row r="5" spans="1:14" x14ac:dyDescent="0.3">
      <c r="A5" s="39" t="s">
        <v>129</v>
      </c>
      <c r="B5" s="45">
        <f>+'Segmental forecast'!B35+'Segmental forecast'!B66+'Segmental forecast'!B97+'Segmental forecast'!B128+'Segmental forecast'!B163+'Segmental forecast'!B182+'Segmental forecast'!B201</f>
        <v>4839</v>
      </c>
      <c r="C5" s="45">
        <f>+'Segmental forecast'!C35+'Segmental forecast'!C66+'Segmental forecast'!C97+'Segmental forecast'!C128+'Segmental forecast'!C163+'Segmental forecast'!C182+'Segmental forecast'!C201</f>
        <v>5291</v>
      </c>
      <c r="D5" s="45">
        <f>+'Segmental forecast'!D35+'Segmental forecast'!D66+'Segmental forecast'!D97+'Segmental forecast'!D128+'Segmental forecast'!D163+'Segmental forecast'!D182+'Segmental forecast'!D201</f>
        <v>5651</v>
      </c>
      <c r="E5" s="45">
        <f>+'Segmental forecast'!E35+'Segmental forecast'!E66+'Segmental forecast'!E97+'Segmental forecast'!E128+'Segmental forecast'!E163+'Segmental forecast'!E182+'Segmental forecast'!E201</f>
        <v>5126</v>
      </c>
      <c r="F5" s="45">
        <f>+'Segmental forecast'!F35+'Segmental forecast'!F66+'Segmental forecast'!F97+'Segmental forecast'!F128+'Segmental forecast'!F163+'Segmental forecast'!F182+'Segmental forecast'!F201</f>
        <v>5555</v>
      </c>
      <c r="G5" s="45">
        <f>+'Segmental forecast'!G35+'Segmental forecast'!G66+'Segmental forecast'!G97+'Segmental forecast'!G128+'Segmental forecast'!G163+'Segmental forecast'!G182+'Segmental forecast'!G201</f>
        <v>3697</v>
      </c>
      <c r="H5" s="45">
        <f>+'Segmental forecast'!H35+'Segmental forecast'!H66+'Segmental forecast'!H97+'Segmental forecast'!H128+'Segmental forecast'!H163+'Segmental forecast'!H182+'Segmental forecast'!H201</f>
        <v>7667</v>
      </c>
      <c r="I5" s="45">
        <f>+'Segmental forecast'!I35+'Segmental forecast'!I66+'Segmental forecast'!I97+'Segmental forecast'!I128+'Segmental forecast'!I163+'Segmental forecast'!I182+'Segmental forecast'!I201</f>
        <v>7573</v>
      </c>
      <c r="J5" s="45">
        <f>+'Segmental forecast'!J35+'Segmental forecast'!J66+'Segmental forecast'!J97+'Segmental forecast'!J128+'Segmental forecast'!J163+'Segmental forecast'!J182+'Segmental forecast'!J201</f>
        <v>13902.366878170136</v>
      </c>
      <c r="K5" s="45">
        <f>+'Segmental forecast'!K35+'Segmental forecast'!K66+'Segmental forecast'!K97+'Segmental forecast'!K128+'Segmental forecast'!K163+'Segmental forecast'!K182+'Segmental forecast'!K201</f>
        <v>15907.838902570134</v>
      </c>
      <c r="L5" s="45">
        <f>+'Segmental forecast'!L35+'Segmental forecast'!L66+'Segmental forecast'!L97+'Segmental forecast'!L128+'Segmental forecast'!L163+'Segmental forecast'!L182+'Segmental forecast'!L201</f>
        <v>18405.639182672134</v>
      </c>
      <c r="M5" s="45">
        <f>+'Segmental forecast'!M35+'Segmental forecast'!M66+'Segmental forecast'!M97+'Segmental forecast'!M128+'Segmental forecast'!M163+'Segmental forecast'!M182+'Segmental forecast'!M201</f>
        <v>21543.68678499628</v>
      </c>
      <c r="N5" s="45">
        <f>+'Segmental forecast'!N35+'Segmental forecast'!N66+'Segmental forecast'!N97+'Segmental forecast'!N128+'Segmental forecast'!N163+'Segmental forecast'!N182+'Segmental forecast'!N201</f>
        <v>25088.373533231475</v>
      </c>
    </row>
    <row r="6" spans="1:14" x14ac:dyDescent="0.3">
      <c r="A6" s="40" t="s">
        <v>128</v>
      </c>
      <c r="B6" s="44" t="str">
        <f t="shared" ref="B6:H6" si="5">+IFERROR(B5/A5-1,"nm")</f>
        <v>nm</v>
      </c>
      <c r="C6" s="44">
        <f t="shared" si="5"/>
        <v>9.3407728869601137E-2</v>
      </c>
      <c r="D6" s="44">
        <f t="shared" si="5"/>
        <v>6.8040068040068125E-2</v>
      </c>
      <c r="E6" s="44">
        <f t="shared" si="5"/>
        <v>-9.2903910812245583E-2</v>
      </c>
      <c r="F6" s="44">
        <f t="shared" si="5"/>
        <v>8.3690987124463545E-2</v>
      </c>
      <c r="G6" s="44">
        <f t="shared" si="5"/>
        <v>-0.3344734473447345</v>
      </c>
      <c r="H6" s="44">
        <f t="shared" si="5"/>
        <v>1.0738436570192049</v>
      </c>
      <c r="I6" s="44">
        <f>+IFERROR(I5/H5-1,"nm")</f>
        <v>-1.2260336507108338E-2</v>
      </c>
      <c r="J6" s="44">
        <f>+IFERROR(J5/I5-1,"nm")</f>
        <v>0.83578065207581353</v>
      </c>
      <c r="K6" s="44">
        <f t="shared" ref="K6:N6" si="6">+IFERROR(K5/J5-1,"nm")</f>
        <v>0.14425399947896955</v>
      </c>
      <c r="L6" s="44">
        <f t="shared" si="6"/>
        <v>0.15701694588436177</v>
      </c>
      <c r="M6" s="44">
        <f t="shared" si="6"/>
        <v>0.17049381285700971</v>
      </c>
      <c r="N6" s="44">
        <f t="shared" si="6"/>
        <v>0.16453482561321997</v>
      </c>
    </row>
    <row r="7" spans="1:14" x14ac:dyDescent="0.3">
      <c r="A7" s="40" t="s">
        <v>130</v>
      </c>
      <c r="B7" s="44">
        <f>+IFERROR(B5/B$3,"nm")</f>
        <v>0.15813208718669325</v>
      </c>
      <c r="C7" s="44">
        <f t="shared" ref="C7:I7" si="7">+IFERROR(C5/C$3,"nm")</f>
        <v>0.16342352359772672</v>
      </c>
      <c r="D7" s="44">
        <f t="shared" si="7"/>
        <v>0.16451237263464338</v>
      </c>
      <c r="E7" s="44">
        <f t="shared" si="7"/>
        <v>0.14083578316894249</v>
      </c>
      <c r="F7" s="44">
        <f t="shared" si="7"/>
        <v>0.14200986783240024</v>
      </c>
      <c r="G7" s="44">
        <f t="shared" si="7"/>
        <v>9.8842338849824879E-2</v>
      </c>
      <c r="H7" s="44">
        <f t="shared" si="7"/>
        <v>0.17214513449189456</v>
      </c>
      <c r="I7" s="44">
        <f t="shared" si="7"/>
        <v>0.16212802397773496</v>
      </c>
      <c r="J7" s="44">
        <f t="shared" ref="J7:N7" si="8">+IFERROR(J5/J$3,"nm")</f>
        <v>0.26897347537098587</v>
      </c>
      <c r="K7" s="44">
        <f t="shared" si="8"/>
        <v>0.2772119988862819</v>
      </c>
      <c r="L7" s="44">
        <f t="shared" si="8"/>
        <v>0.28576207970987766</v>
      </c>
      <c r="M7" s="44">
        <f t="shared" si="8"/>
        <v>0.29453158294562681</v>
      </c>
      <c r="N7" s="44">
        <f t="shared" si="8"/>
        <v>0.3039018988959028</v>
      </c>
    </row>
    <row r="8" spans="1:14" s="1" customFormat="1" x14ac:dyDescent="0.3">
      <c r="A8" s="39" t="s">
        <v>131</v>
      </c>
      <c r="B8" s="45">
        <f>+B38+B69+B100+B131+B166+B185+B204</f>
        <v>606</v>
      </c>
      <c r="C8" s="45">
        <f t="shared" ref="C8:N8" si="9">+C38+C69+C100+C131+C166+C185+C204</f>
        <v>649</v>
      </c>
      <c r="D8" s="45">
        <f t="shared" si="9"/>
        <v>706</v>
      </c>
      <c r="E8" s="45">
        <f t="shared" si="9"/>
        <v>747</v>
      </c>
      <c r="F8" s="45">
        <f t="shared" si="9"/>
        <v>705</v>
      </c>
      <c r="G8" s="45">
        <f t="shared" si="9"/>
        <v>721</v>
      </c>
      <c r="H8" s="45">
        <f t="shared" si="9"/>
        <v>744</v>
      </c>
      <c r="I8" s="45">
        <f t="shared" si="9"/>
        <v>717</v>
      </c>
      <c r="J8" s="45">
        <f t="shared" si="9"/>
        <v>700.11582495691891</v>
      </c>
      <c r="K8" s="45">
        <f t="shared" si="9"/>
        <v>759.30126092757291</v>
      </c>
      <c r="L8" s="45">
        <f t="shared" si="9"/>
        <v>831.76987792042962</v>
      </c>
      <c r="M8" s="45">
        <f t="shared" si="9"/>
        <v>922.11970452286153</v>
      </c>
      <c r="N8" s="45">
        <f t="shared" si="9"/>
        <v>1015.6715750853364</v>
      </c>
    </row>
    <row r="9" spans="1:14" x14ac:dyDescent="0.3">
      <c r="A9" s="40" t="s">
        <v>128</v>
      </c>
      <c r="B9" s="44" t="str">
        <f t="shared" ref="B9:H9" si="10">+IFERROR(B8/A8-1,"nm")</f>
        <v>nm</v>
      </c>
      <c r="C9" s="44">
        <f t="shared" si="10"/>
        <v>7.0957095709570872E-2</v>
      </c>
      <c r="D9" s="44">
        <f t="shared" si="10"/>
        <v>8.7827426810477727E-2</v>
      </c>
      <c r="E9" s="44">
        <f t="shared" si="10"/>
        <v>5.8073654390934815E-2</v>
      </c>
      <c r="F9" s="44">
        <f t="shared" si="10"/>
        <v>-5.6224899598393607E-2</v>
      </c>
      <c r="G9" s="44">
        <f t="shared" si="10"/>
        <v>2.2695035460992941E-2</v>
      </c>
      <c r="H9" s="44">
        <f t="shared" si="10"/>
        <v>3.1900138696255187E-2</v>
      </c>
      <c r="I9" s="44">
        <f>+IFERROR(I8/H8-1,"nm")</f>
        <v>-3.6290322580645129E-2</v>
      </c>
      <c r="J9" s="44">
        <f>+IFERROR(J8/I8-1,"nm")</f>
        <v>-2.3548361287421327E-2</v>
      </c>
      <c r="K9" s="44">
        <f t="shared" ref="K9:N9" si="11">+IFERROR(K8/J8-1,"nm")</f>
        <v>8.4536635026491336E-2</v>
      </c>
      <c r="L9" s="44">
        <f t="shared" si="11"/>
        <v>9.54411914242419E-2</v>
      </c>
      <c r="M9" s="44">
        <f t="shared" si="11"/>
        <v>0.1086235856825235</v>
      </c>
      <c r="N9" s="44">
        <f t="shared" si="11"/>
        <v>0.10145306526215281</v>
      </c>
    </row>
    <row r="10" spans="1:14" x14ac:dyDescent="0.3">
      <c r="A10" s="40" t="s">
        <v>132</v>
      </c>
      <c r="B10" s="44">
        <f>+IFERROR(B8/B$3,"nm")</f>
        <v>1.9803274402797295E-2</v>
      </c>
      <c r="C10" s="44">
        <f t="shared" ref="C10:I10" si="12">+IFERROR(C8/C$3,"nm")</f>
        <v>2.0045712873733631E-2</v>
      </c>
      <c r="D10" s="44">
        <f t="shared" si="12"/>
        <v>2.0553129548762736E-2</v>
      </c>
      <c r="E10" s="44">
        <f t="shared" si="12"/>
        <v>2.0523669533203285E-2</v>
      </c>
      <c r="F10" s="44">
        <f t="shared" si="12"/>
        <v>1.8022854513382928E-2</v>
      </c>
      <c r="G10" s="44">
        <f t="shared" si="12"/>
        <v>1.9276528620698875E-2</v>
      </c>
      <c r="H10" s="44">
        <f t="shared" si="12"/>
        <v>1.6704836319547355E-2</v>
      </c>
      <c r="I10" s="44">
        <f t="shared" si="12"/>
        <v>1.5350032113037893E-2</v>
      </c>
      <c r="J10" s="44">
        <f t="shared" ref="J10:N10" si="13">+IFERROR(J8/J$3,"nm")</f>
        <v>1.3545361610085307E-2</v>
      </c>
      <c r="K10" s="44">
        <f t="shared" si="13"/>
        <v>1.3231679148108522E-2</v>
      </c>
      <c r="L10" s="44">
        <f t="shared" si="13"/>
        <v>1.2913884043665436E-2</v>
      </c>
      <c r="M10" s="44">
        <f t="shared" si="13"/>
        <v>1.260663408955697E-2</v>
      </c>
      <c r="N10" s="44">
        <f t="shared" si="13"/>
        <v>1.2303090111209336E-2</v>
      </c>
    </row>
    <row r="11" spans="1:14" s="1" customFormat="1" x14ac:dyDescent="0.3">
      <c r="A11" s="39" t="s">
        <v>133</v>
      </c>
      <c r="B11" s="45">
        <f>B5-B8</f>
        <v>4233</v>
      </c>
      <c r="C11" s="45">
        <f t="shared" ref="C11:N11" si="14">C5-C8</f>
        <v>4642</v>
      </c>
      <c r="D11" s="45">
        <f t="shared" si="14"/>
        <v>4945</v>
      </c>
      <c r="E11" s="45">
        <f t="shared" si="14"/>
        <v>4379</v>
      </c>
      <c r="F11" s="45">
        <f t="shared" si="14"/>
        <v>4850</v>
      </c>
      <c r="G11" s="45">
        <f t="shared" si="14"/>
        <v>2976</v>
      </c>
      <c r="H11" s="45">
        <f t="shared" si="14"/>
        <v>6923</v>
      </c>
      <c r="I11" s="45">
        <f t="shared" si="14"/>
        <v>6856</v>
      </c>
      <c r="J11" s="45">
        <f t="shared" si="14"/>
        <v>13202.251053213218</v>
      </c>
      <c r="K11" s="45">
        <f t="shared" si="14"/>
        <v>15148.537641642561</v>
      </c>
      <c r="L11" s="45">
        <f t="shared" si="14"/>
        <v>17573.869304751704</v>
      </c>
      <c r="M11" s="45">
        <f t="shared" si="14"/>
        <v>20621.567080473418</v>
      </c>
      <c r="N11" s="45">
        <f t="shared" si="14"/>
        <v>24072.701958146139</v>
      </c>
    </row>
    <row r="12" spans="1:14" x14ac:dyDescent="0.3">
      <c r="A12" s="40" t="s">
        <v>128</v>
      </c>
      <c r="B12" s="44" t="str">
        <f t="shared" ref="B12:H12" si="15">+IFERROR(B11/A11-1,"nm")</f>
        <v>nm</v>
      </c>
      <c r="C12" s="44">
        <f>+IFERROR(C11/B11-1,"nm")</f>
        <v>9.6621781242617555E-2</v>
      </c>
      <c r="D12" s="44">
        <f t="shared" si="15"/>
        <v>6.5273588970271357E-2</v>
      </c>
      <c r="E12" s="44">
        <f t="shared" si="15"/>
        <v>-0.11445904954499497</v>
      </c>
      <c r="F12" s="44">
        <f t="shared" si="15"/>
        <v>0.10755880337976698</v>
      </c>
      <c r="G12" s="44">
        <f t="shared" si="15"/>
        <v>-0.38639175257731961</v>
      </c>
      <c r="H12" s="44">
        <f t="shared" si="15"/>
        <v>1.32627688172043</v>
      </c>
      <c r="I12" s="44">
        <f>+IFERROR(I11/H11-1,"nm")</f>
        <v>-9.67788530983682E-3</v>
      </c>
      <c r="J12" s="44">
        <f>+IFERROR(J11/I11-1,"nm")</f>
        <v>0.92564922013028261</v>
      </c>
      <c r="K12" s="44">
        <f t="shared" ref="K12:N12" si="16">+IFERROR(K11/J11-1,"nm")</f>
        <v>0.14742081335861634</v>
      </c>
      <c r="L12" s="44">
        <f t="shared" si="16"/>
        <v>0.16010335257985764</v>
      </c>
      <c r="M12" s="44">
        <f t="shared" si="16"/>
        <v>0.17342212593430761</v>
      </c>
      <c r="N12" s="44">
        <f t="shared" si="16"/>
        <v>0.16735560707898878</v>
      </c>
    </row>
    <row r="13" spans="1:14" x14ac:dyDescent="0.3">
      <c r="A13" s="40" t="s">
        <v>130</v>
      </c>
      <c r="B13" s="44">
        <f>+IFERROR(B11/B$3,"nm")</f>
        <v>0.13832881278389594</v>
      </c>
      <c r="C13" s="44">
        <f t="shared" ref="C13:I13" si="17">+IFERROR(C11/C$3,"nm")</f>
        <v>0.14337781072399308</v>
      </c>
      <c r="D13" s="44">
        <f t="shared" si="17"/>
        <v>0.14395924308588065</v>
      </c>
      <c r="E13" s="44">
        <f t="shared" si="17"/>
        <v>0.12031211363573921</v>
      </c>
      <c r="F13" s="44">
        <f t="shared" si="17"/>
        <v>0.12398701331901731</v>
      </c>
      <c r="G13" s="44">
        <f t="shared" si="17"/>
        <v>7.9565810229126011E-2</v>
      </c>
      <c r="H13" s="44">
        <f t="shared" si="17"/>
        <v>0.1554402981723472</v>
      </c>
      <c r="I13" s="44">
        <f t="shared" si="17"/>
        <v>0.14677799186469706</v>
      </c>
      <c r="J13" s="44">
        <f t="shared" ref="J13:N13" si="18">+IFERROR(J11/J$3,"nm")</f>
        <v>0.25542811376090058</v>
      </c>
      <c r="K13" s="44">
        <f t="shared" si="18"/>
        <v>0.26398031973817337</v>
      </c>
      <c r="L13" s="44">
        <f t="shared" si="18"/>
        <v>0.27284819566621221</v>
      </c>
      <c r="M13" s="44">
        <f t="shared" si="18"/>
        <v>0.28192494885606983</v>
      </c>
      <c r="N13" s="44">
        <f t="shared" si="18"/>
        <v>0.29159880878469341</v>
      </c>
    </row>
    <row r="14" spans="1:14" x14ac:dyDescent="0.3">
      <c r="A14" s="39" t="s">
        <v>134</v>
      </c>
      <c r="B14" s="45">
        <f>+B45+B76+B107+B138+B173+B192+B211</f>
        <v>963</v>
      </c>
      <c r="C14" s="45">
        <f t="shared" ref="C14:N14" si="19">+C45+C76+C107+C138+C173+C192+C211</f>
        <v>1143</v>
      </c>
      <c r="D14" s="45">
        <f t="shared" si="19"/>
        <v>1105</v>
      </c>
      <c r="E14" s="45">
        <f t="shared" si="19"/>
        <v>1028</v>
      </c>
      <c r="F14" s="45">
        <f>+F45+F76+F107+F138+F173+F192+F211</f>
        <v>1119</v>
      </c>
      <c r="G14" s="45">
        <f t="shared" si="19"/>
        <v>1086</v>
      </c>
      <c r="H14" s="45">
        <f t="shared" si="19"/>
        <v>695</v>
      </c>
      <c r="I14" s="45">
        <f t="shared" si="19"/>
        <v>758</v>
      </c>
      <c r="J14" s="45">
        <f t="shared" si="19"/>
        <v>813.52451160717271</v>
      </c>
      <c r="K14" s="45">
        <f t="shared" si="19"/>
        <v>888.71978363917299</v>
      </c>
      <c r="L14" s="45">
        <f t="shared" si="19"/>
        <v>980.31388908873282</v>
      </c>
      <c r="M14" s="45">
        <f t="shared" si="19"/>
        <v>1094.0339598270391</v>
      </c>
      <c r="N14" s="45">
        <f t="shared" si="19"/>
        <v>1215.9106392928027</v>
      </c>
    </row>
    <row r="15" spans="1:14" x14ac:dyDescent="0.3">
      <c r="A15" s="40" t="s">
        <v>128</v>
      </c>
      <c r="B15" s="44" t="str">
        <f t="shared" ref="B15:H15" si="20">+IFERROR(B14/A14-1,"nm")</f>
        <v>nm</v>
      </c>
      <c r="C15" s="44">
        <f t="shared" si="20"/>
        <v>0.18691588785046731</v>
      </c>
      <c r="D15" s="44">
        <f t="shared" si="20"/>
        <v>-3.3245844269466307E-2</v>
      </c>
      <c r="E15" s="44">
        <f t="shared" si="20"/>
        <v>-6.9683257918552011E-2</v>
      </c>
      <c r="F15" s="44">
        <f t="shared" si="20"/>
        <v>8.8521400778210024E-2</v>
      </c>
      <c r="G15" s="44">
        <f t="shared" si="20"/>
        <v>-2.9490616621983934E-2</v>
      </c>
      <c r="H15" s="44">
        <f t="shared" si="20"/>
        <v>-0.36003683241252304</v>
      </c>
      <c r="I15" s="44">
        <f>+IFERROR(I14/H14-1,"nm")</f>
        <v>9.0647482014388547E-2</v>
      </c>
      <c r="J15" s="44">
        <f>+IFERROR(J14/I14-1,"nm")</f>
        <v>7.3251334574106375E-2</v>
      </c>
      <c r="K15" s="44">
        <f t="shared" ref="K15:N15" si="21">+IFERROR(K14/J14-1,"nm")</f>
        <v>9.2431476813706448E-2</v>
      </c>
      <c r="L15" s="44">
        <f t="shared" si="21"/>
        <v>0.10306297568227385</v>
      </c>
      <c r="M15" s="44">
        <f t="shared" si="21"/>
        <v>0.11600373309411816</v>
      </c>
      <c r="N15" s="44">
        <f t="shared" si="21"/>
        <v>0.11140118491845685</v>
      </c>
    </row>
    <row r="16" spans="1:14" x14ac:dyDescent="0.3">
      <c r="A16" s="40" t="s">
        <v>132</v>
      </c>
      <c r="B16" s="44">
        <f>+IFERROR(B14/B$3,"nm")</f>
        <v>3.146955981830659E-2</v>
      </c>
      <c r="C16" s="44">
        <f t="shared" ref="C16:I16" si="22">+IFERROR(C14/C$3,"nm")</f>
        <v>3.5303928836174947E-2</v>
      </c>
      <c r="D16" s="44">
        <f t="shared" si="22"/>
        <v>3.2168850072780204E-2</v>
      </c>
      <c r="E16" s="44">
        <f t="shared" si="22"/>
        <v>2.8244086051048164E-2</v>
      </c>
      <c r="F16" s="44">
        <f t="shared" si="22"/>
        <v>2.8606488227624818E-2</v>
      </c>
      <c r="G16" s="44">
        <f t="shared" si="22"/>
        <v>2.9035104136031869E-2</v>
      </c>
      <c r="H16" s="44">
        <f t="shared" si="22"/>
        <v>1.5604652207104046E-2</v>
      </c>
      <c r="I16" s="44">
        <f t="shared" si="22"/>
        <v>1.6227788482123744E-2</v>
      </c>
      <c r="J16" s="44">
        <f t="shared" ref="J16:N16" si="23">+IFERROR(J14/J$3,"nm")</f>
        <v>1.5739515228162814E-2</v>
      </c>
      <c r="K16" s="44">
        <f t="shared" si="23"/>
        <v>1.5486942581031267E-2</v>
      </c>
      <c r="L16" s="44">
        <f t="shared" si="23"/>
        <v>1.5220147093734582E-2</v>
      </c>
      <c r="M16" s="44">
        <f t="shared" si="23"/>
        <v>1.4956936442677017E-2</v>
      </c>
      <c r="N16" s="44">
        <f t="shared" si="23"/>
        <v>1.4728637218325831E-2</v>
      </c>
    </row>
    <row r="17" spans="1:15" x14ac:dyDescent="0.3">
      <c r="A17" s="9" t="s">
        <v>140</v>
      </c>
      <c r="B17" s="45">
        <f>+B48+B79+B110+B141+B176+B195+B214</f>
        <v>3011</v>
      </c>
      <c r="C17" s="45">
        <f t="shared" ref="C17:N17" si="24">+C48+C79+C110+C141+C176+C195+C214</f>
        <v>3520</v>
      </c>
      <c r="D17" s="45">
        <f t="shared" si="24"/>
        <v>3989</v>
      </c>
      <c r="E17" s="45">
        <f t="shared" si="24"/>
        <v>4454</v>
      </c>
      <c r="F17" s="45">
        <f t="shared" si="24"/>
        <v>4744</v>
      </c>
      <c r="G17" s="45">
        <f t="shared" si="24"/>
        <v>4866</v>
      </c>
      <c r="H17" s="45">
        <f t="shared" si="24"/>
        <v>4904</v>
      </c>
      <c r="I17" s="45">
        <f t="shared" si="24"/>
        <v>4791</v>
      </c>
      <c r="J17" s="45">
        <f t="shared" si="24"/>
        <v>3553.1431552846598</v>
      </c>
      <c r="K17" s="45">
        <f t="shared" si="24"/>
        <v>3894.995657484661</v>
      </c>
      <c r="L17" s="45">
        <f t="shared" si="24"/>
        <v>4310.9133517016608</v>
      </c>
      <c r="M17" s="45">
        <f t="shared" si="24"/>
        <v>4827.7169450479851</v>
      </c>
      <c r="N17" s="45">
        <f t="shared" si="24"/>
        <v>5372.5328493739453</v>
      </c>
    </row>
    <row r="18" spans="1:15" x14ac:dyDescent="0.3">
      <c r="A18" s="40" t="s">
        <v>128</v>
      </c>
      <c r="B18" s="44" t="str">
        <f t="shared" ref="B18:H18" si="25">+IFERROR(B17/A17-1,"nm")</f>
        <v>nm</v>
      </c>
      <c r="C18" s="44">
        <f t="shared" si="25"/>
        <v>0.16904682829624718</v>
      </c>
      <c r="D18" s="44">
        <f t="shared" si="25"/>
        <v>0.13323863636363642</v>
      </c>
      <c r="E18" s="44">
        <f t="shared" si="25"/>
        <v>0.11657056906492858</v>
      </c>
      <c r="F18" s="44">
        <f t="shared" si="25"/>
        <v>6.5110013471037176E-2</v>
      </c>
      <c r="G18" s="44">
        <f t="shared" si="25"/>
        <v>2.5716694772343951E-2</v>
      </c>
      <c r="H18" s="44">
        <f t="shared" si="25"/>
        <v>7.8092889436909285E-3</v>
      </c>
      <c r="I18" s="44">
        <f>+IFERROR(I17/H17-1,"nm")</f>
        <v>-2.3042414355628038E-2</v>
      </c>
      <c r="J18" s="44">
        <f>+IFERROR(J17/I17-1,"nm")</f>
        <v>-0.25837128881555838</v>
      </c>
      <c r="K18" s="44">
        <f t="shared" ref="K18:N18" si="26">+IFERROR(K17/J17-1,"nm")</f>
        <v>9.6211294411697734E-2</v>
      </c>
      <c r="L18" s="44">
        <f t="shared" si="26"/>
        <v>0.10678258226495529</v>
      </c>
      <c r="M18" s="44">
        <f t="shared" si="26"/>
        <v>0.11988262142692441</v>
      </c>
      <c r="N18" s="44">
        <f t="shared" si="26"/>
        <v>0.11285166684944192</v>
      </c>
    </row>
    <row r="19" spans="1:15" x14ac:dyDescent="0.3">
      <c r="A19" s="40" t="s">
        <v>132</v>
      </c>
      <c r="B19" s="44">
        <f>+IFERROR(B17/B$3,"nm")</f>
        <v>9.8395477271984569E-2</v>
      </c>
      <c r="C19" s="44">
        <f t="shared" ref="C19:I19" si="27">+IFERROR(C17/C$3,"nm")</f>
        <v>0.10872251050160613</v>
      </c>
      <c r="D19" s="44">
        <f t="shared" si="27"/>
        <v>0.11612809315866085</v>
      </c>
      <c r="E19" s="44">
        <f t="shared" si="27"/>
        <v>0.12237272302662307</v>
      </c>
      <c r="F19" s="44">
        <f t="shared" si="27"/>
        <v>0.1212771940588491</v>
      </c>
      <c r="G19" s="44">
        <f t="shared" si="27"/>
        <v>0.13009651632222013</v>
      </c>
      <c r="H19" s="44">
        <f t="shared" si="27"/>
        <v>0.11010822219228523</v>
      </c>
      <c r="I19" s="44">
        <f t="shared" si="27"/>
        <v>0.10256904303147078</v>
      </c>
      <c r="J19" s="44">
        <f t="shared" ref="J19:N19" si="28">+IFERROR(J17/J$3,"nm")</f>
        <v>6.8743780921809286E-2</v>
      </c>
      <c r="K19" s="44">
        <f t="shared" si="28"/>
        <v>6.7874683574414604E-2</v>
      </c>
      <c r="L19" s="44">
        <f t="shared" si="28"/>
        <v>6.6930333285632679E-2</v>
      </c>
      <c r="M19" s="44">
        <f t="shared" si="28"/>
        <v>6.6001475421963357E-2</v>
      </c>
      <c r="N19" s="44">
        <f t="shared" si="28"/>
        <v>6.5078867414130714E-2</v>
      </c>
    </row>
    <row r="20" spans="1:15" x14ac:dyDescent="0.3">
      <c r="A20" s="41" t="str">
        <f>Historicals!A111</f>
        <v>North America</v>
      </c>
      <c r="B20" s="41"/>
      <c r="C20" s="41"/>
      <c r="D20" s="41"/>
      <c r="E20" s="41"/>
      <c r="F20" s="41"/>
      <c r="G20" s="41"/>
      <c r="H20" s="41"/>
      <c r="I20" s="41"/>
      <c r="J20" s="37"/>
      <c r="K20" s="37"/>
      <c r="L20" s="37"/>
      <c r="M20" s="37"/>
      <c r="N20" s="37"/>
      <c r="O20" t="s">
        <v>236</v>
      </c>
    </row>
    <row r="21" spans="1:15" x14ac:dyDescent="0.3">
      <c r="A21" s="9" t="s">
        <v>135</v>
      </c>
      <c r="B21" s="9">
        <f t="shared" ref="B21:I21" si="29">+SUM(B23+B27+B31)</f>
        <v>13740</v>
      </c>
      <c r="C21" s="9">
        <f t="shared" si="29"/>
        <v>14764</v>
      </c>
      <c r="D21" s="9">
        <f t="shared" si="29"/>
        <v>15216</v>
      </c>
      <c r="E21" s="9">
        <f t="shared" si="29"/>
        <v>14855</v>
      </c>
      <c r="F21" s="9">
        <f t="shared" si="29"/>
        <v>15902</v>
      </c>
      <c r="G21" s="9">
        <f t="shared" si="29"/>
        <v>14484</v>
      </c>
      <c r="H21" s="9">
        <f t="shared" si="29"/>
        <v>17179</v>
      </c>
      <c r="I21" s="9">
        <f t="shared" si="29"/>
        <v>18353</v>
      </c>
      <c r="J21" s="9">
        <f>+SUM(J23+J27+J31)</f>
        <v>19568.842000000004</v>
      </c>
      <c r="K21" s="9">
        <f t="shared" ref="K21:N21" si="30">+SUM(K23+K27+K31)</f>
        <v>20905.530148000002</v>
      </c>
      <c r="L21" s="9">
        <f t="shared" si="30"/>
        <v>22752.409407840001</v>
      </c>
      <c r="M21" s="9">
        <f t="shared" si="30"/>
        <v>25098.504722604004</v>
      </c>
      <c r="N21" s="9">
        <f t="shared" si="30"/>
        <v>26968.3834212457</v>
      </c>
    </row>
    <row r="22" spans="1:15" x14ac:dyDescent="0.3">
      <c r="A22" s="42" t="s">
        <v>128</v>
      </c>
      <c r="B22" s="44" t="str">
        <f t="shared" ref="B22:H22" si="31">+IFERROR(B21/A21-1,"nm")</f>
        <v>nm</v>
      </c>
      <c r="C22" s="44">
        <f t="shared" si="31"/>
        <v>7.4526928675400228E-2</v>
      </c>
      <c r="D22" s="44">
        <f t="shared" si="31"/>
        <v>3.0615009482525046E-2</v>
      </c>
      <c r="E22" s="44">
        <f t="shared" si="31"/>
        <v>-2.372502628811779E-2</v>
      </c>
      <c r="F22" s="44">
        <f t="shared" si="31"/>
        <v>7.0481319421070276E-2</v>
      </c>
      <c r="G22" s="44">
        <f t="shared" si="31"/>
        <v>-8.9171173437303519E-2</v>
      </c>
      <c r="H22" s="44">
        <f t="shared" si="31"/>
        <v>0.18606738470035911</v>
      </c>
      <c r="I22" s="44">
        <f>+IFERROR(I21/H21-1,"nm")</f>
        <v>6.8339251411607238E-2</v>
      </c>
      <c r="J22" s="44">
        <f>+IFERROR(J21/I21-1,"nm")</f>
        <v>6.6247588950035574E-2</v>
      </c>
      <c r="K22" s="44">
        <f t="shared" ref="K22:N22" si="32">+IFERROR(K21/J21-1,"nm")</f>
        <v>6.8306962057335774E-2</v>
      </c>
      <c r="L22" s="44">
        <f t="shared" si="32"/>
        <v>8.8344052830283681E-2</v>
      </c>
      <c r="M22" s="44">
        <f t="shared" si="32"/>
        <v>0.10311414816382425</v>
      </c>
      <c r="N22" s="44">
        <f t="shared" si="32"/>
        <v>7.4501597577550482E-2</v>
      </c>
    </row>
    <row r="23" spans="1:15" s="1" customFormat="1" x14ac:dyDescent="0.3">
      <c r="A23" s="48" t="s">
        <v>112</v>
      </c>
      <c r="B23" s="9">
        <f>+Historicals!B112</f>
        <v>8506</v>
      </c>
      <c r="C23" s="9">
        <f>+Historicals!C112</f>
        <v>9299</v>
      </c>
      <c r="D23" s="9">
        <f>+Historicals!D112</f>
        <v>9684</v>
      </c>
      <c r="E23" s="9">
        <f>+Historicals!E112</f>
        <v>9322</v>
      </c>
      <c r="F23" s="9">
        <f>+Historicals!F112</f>
        <v>10045</v>
      </c>
      <c r="G23" s="9">
        <f>+Historicals!G112</f>
        <v>9329</v>
      </c>
      <c r="H23" s="9">
        <f>+Historicals!H112</f>
        <v>11644</v>
      </c>
      <c r="I23" s="9">
        <f>+Historicals!I112</f>
        <v>12228</v>
      </c>
      <c r="J23" s="9">
        <f>+I23*(1+J24)</f>
        <v>12888.312</v>
      </c>
      <c r="K23" s="9">
        <f t="shared" ref="K23:N23" si="33">+J23*(1+K24)</f>
        <v>13584.280848</v>
      </c>
      <c r="L23" s="9">
        <f t="shared" si="33"/>
        <v>14671.023315840001</v>
      </c>
      <c r="M23" s="9">
        <f t="shared" si="33"/>
        <v>16138.125647424002</v>
      </c>
      <c r="N23" s="9">
        <f t="shared" si="33"/>
        <v>17009.584432384898</v>
      </c>
    </row>
    <row r="24" spans="1:15" x14ac:dyDescent="0.3">
      <c r="A24" s="42" t="s">
        <v>128</v>
      </c>
      <c r="B24" s="44" t="str">
        <f t="shared" ref="B24" si="34">+IFERROR(B23/A23-1,"nm")</f>
        <v>nm</v>
      </c>
      <c r="C24" s="44">
        <f>+IFERROR(C23/B23-1,"nm")</f>
        <v>9.3228309428638578E-2</v>
      </c>
      <c r="D24" s="44">
        <f t="shared" ref="D24" si="35">+IFERROR(D23/C23-1,"nm")</f>
        <v>4.1402301322722934E-2</v>
      </c>
      <c r="E24" s="44">
        <f t="shared" ref="E24" si="36">+IFERROR(E23/D23-1,"nm")</f>
        <v>-3.7381247418422192E-2</v>
      </c>
      <c r="F24" s="44">
        <f t="shared" ref="F24" si="37">+IFERROR(F23/E23-1,"nm")</f>
        <v>7.755846384895948E-2</v>
      </c>
      <c r="G24" s="44">
        <f t="shared" ref="G24" si="38">+IFERROR(G23/F23-1,"nm")</f>
        <v>-7.1279243404678949E-2</v>
      </c>
      <c r="H24" s="44">
        <f t="shared" ref="H24" si="39">+IFERROR(H23/G23-1,"nm")</f>
        <v>0.24815092721620746</v>
      </c>
      <c r="I24" s="44">
        <f>+IFERROR(I23/H23-1,"nm")</f>
        <v>5.0154586052902683E-2</v>
      </c>
      <c r="J24" s="44">
        <f>+J25+J26</f>
        <v>5.3999999999999999E-2</v>
      </c>
      <c r="K24" s="44">
        <f t="shared" ref="K24:N24" si="40">+K25+K26</f>
        <v>5.3999999999999999E-2</v>
      </c>
      <c r="L24" s="44">
        <f t="shared" si="40"/>
        <v>0.08</v>
      </c>
      <c r="M24" s="44">
        <f t="shared" si="40"/>
        <v>0.1</v>
      </c>
      <c r="N24" s="44">
        <f t="shared" si="40"/>
        <v>5.3999999999999999E-2</v>
      </c>
    </row>
    <row r="25" spans="1:15" x14ac:dyDescent="0.3">
      <c r="A25" s="42" t="s">
        <v>136</v>
      </c>
      <c r="B25" s="44">
        <f>Historicals!B184</f>
        <v>0.14000000000000001</v>
      </c>
      <c r="C25" s="44">
        <f>Historicals!C184</f>
        <v>0.1</v>
      </c>
      <c r="D25" s="44">
        <f>Historicals!D184</f>
        <v>0.04</v>
      </c>
      <c r="E25" s="44">
        <f>Historicals!E184</f>
        <v>-0.04</v>
      </c>
      <c r="F25" s="44">
        <f>Historicals!F184</f>
        <v>0.08</v>
      </c>
      <c r="G25" s="44">
        <f>Historicals!G184</f>
        <v>-7.0000000000000007E-2</v>
      </c>
      <c r="H25" s="44">
        <f>Historicals!H184</f>
        <v>0.25</v>
      </c>
      <c r="I25" s="44">
        <f>Historicals!I184</f>
        <v>0.05</v>
      </c>
      <c r="J25" s="70">
        <f>Assumptions!B5</f>
        <v>5.3999999999999999E-2</v>
      </c>
      <c r="K25" s="70">
        <f>Assumptions!C5</f>
        <v>5.3999999999999999E-2</v>
      </c>
      <c r="L25" s="70">
        <f>Assumptions!D5</f>
        <v>0.08</v>
      </c>
      <c r="M25" s="70">
        <f>Assumptions!E5</f>
        <v>0.1</v>
      </c>
      <c r="N25" s="70">
        <f>Assumptions!F5</f>
        <v>5.3999999999999999E-2</v>
      </c>
      <c r="O25" t="s">
        <v>239</v>
      </c>
    </row>
    <row r="26" spans="1:15" x14ac:dyDescent="0.3">
      <c r="A26" s="42" t="s">
        <v>137</v>
      </c>
      <c r="B26" s="44" t="str">
        <f>+IFERROR(B24-B25,"nm")</f>
        <v>nm</v>
      </c>
      <c r="C26" s="44">
        <f t="shared" ref="C26:H26" si="41">+IFERROR(C24-C25,"nm")</f>
        <v>-6.7716905713614273E-3</v>
      </c>
      <c r="D26" s="44">
        <f t="shared" si="41"/>
        <v>1.4023013227229333E-3</v>
      </c>
      <c r="E26" s="44">
        <f t="shared" si="41"/>
        <v>2.6187525815778087E-3</v>
      </c>
      <c r="F26" s="44">
        <f t="shared" si="41"/>
        <v>-2.4415361510405215E-3</v>
      </c>
      <c r="G26" s="44">
        <f t="shared" si="41"/>
        <v>-1.2792434046789425E-3</v>
      </c>
      <c r="H26" s="44">
        <f t="shared" si="41"/>
        <v>-1.849072783792538E-3</v>
      </c>
      <c r="I26" s="44">
        <f>+IFERROR(I24-I25,"nm")</f>
        <v>1.5458605290268046E-4</v>
      </c>
      <c r="J26" s="46">
        <v>0</v>
      </c>
      <c r="K26" s="46">
        <f t="shared" ref="K26:N26" si="42">+J26</f>
        <v>0</v>
      </c>
      <c r="L26" s="46">
        <f t="shared" si="42"/>
        <v>0</v>
      </c>
      <c r="M26" s="46">
        <f t="shared" si="42"/>
        <v>0</v>
      </c>
      <c r="N26" s="46">
        <f t="shared" si="42"/>
        <v>0</v>
      </c>
    </row>
    <row r="27" spans="1:15" s="1" customFormat="1" x14ac:dyDescent="0.3">
      <c r="A27" s="48" t="s">
        <v>113</v>
      </c>
      <c r="B27" s="9">
        <f>Historicals!B113</f>
        <v>4410</v>
      </c>
      <c r="C27" s="9">
        <f>Historicals!C113</f>
        <v>4746</v>
      </c>
      <c r="D27" s="9">
        <f>Historicals!D113</f>
        <v>4886</v>
      </c>
      <c r="E27" s="9">
        <f>Historicals!E113</f>
        <v>4938</v>
      </c>
      <c r="F27" s="9">
        <f>Historicals!F113</f>
        <v>5260</v>
      </c>
      <c r="G27" s="9">
        <f>Historicals!G113</f>
        <v>4639</v>
      </c>
      <c r="H27" s="9">
        <f>Historicals!H113</f>
        <v>5028</v>
      </c>
      <c r="I27" s="9">
        <f>Historicals!I113</f>
        <v>5492</v>
      </c>
      <c r="J27" s="9">
        <f>+I27*(1+J28)</f>
        <v>6041.2000000000007</v>
      </c>
      <c r="K27" s="9">
        <f t="shared" ref="K27" si="43">+J27*(1+K28)</f>
        <v>6675.5260000000007</v>
      </c>
      <c r="L27" s="9">
        <f t="shared" ref="L27" si="44">+K27*(1+L28)</f>
        <v>7409.8338600000016</v>
      </c>
      <c r="M27" s="9">
        <f t="shared" ref="M27" si="45">+L27*(1+M28)</f>
        <v>8261.9647539000016</v>
      </c>
      <c r="N27" s="9">
        <f t="shared" ref="N27" si="46">+M27*(1+N28)</f>
        <v>9253.4005243680022</v>
      </c>
    </row>
    <row r="28" spans="1:15" x14ac:dyDescent="0.3">
      <c r="A28" s="42" t="s">
        <v>128</v>
      </c>
      <c r="B28" s="44" t="str">
        <f t="shared" ref="B28" si="47">+IFERROR(B27/A27-1,"nm")</f>
        <v>nm</v>
      </c>
      <c r="C28" s="44">
        <f t="shared" ref="C28" si="48">+IFERROR(C27/B27-1,"nm")</f>
        <v>7.6190476190476142E-2</v>
      </c>
      <c r="D28" s="44">
        <f t="shared" ref="D28" si="49">+IFERROR(D27/C27-1,"nm")</f>
        <v>2.9498525073746285E-2</v>
      </c>
      <c r="E28" s="44">
        <f t="shared" ref="E28" si="50">+IFERROR(E27/D27-1,"nm")</f>
        <v>1.0642652476463343E-2</v>
      </c>
      <c r="F28" s="44">
        <f t="shared" ref="F28" si="51">+IFERROR(F27/E27-1,"nm")</f>
        <v>6.5208586472256025E-2</v>
      </c>
      <c r="G28" s="44">
        <f t="shared" ref="G28" si="52">+IFERROR(G27/F27-1,"nm")</f>
        <v>-0.11806083650190113</v>
      </c>
      <c r="H28" s="44">
        <f t="shared" ref="H28" si="53">+IFERROR(H27/G27-1,"nm")</f>
        <v>8.3854278939426541E-2</v>
      </c>
      <c r="I28" s="44">
        <f>+IFERROR(I27/H27-1,"nm")</f>
        <v>9.2283214001591007E-2</v>
      </c>
      <c r="J28" s="44">
        <f>+J29+J30</f>
        <v>0.1</v>
      </c>
      <c r="K28" s="44">
        <f t="shared" ref="K28" si="54">+K29+K30</f>
        <v>0.105</v>
      </c>
      <c r="L28" s="44">
        <f t="shared" ref="L28" si="55">+L29+L30</f>
        <v>0.11</v>
      </c>
      <c r="M28" s="44">
        <f t="shared" ref="M28" si="56">+M29+M30</f>
        <v>0.115</v>
      </c>
      <c r="N28" s="44">
        <f t="shared" ref="N28" si="57">+N29+N30</f>
        <v>0.12</v>
      </c>
    </row>
    <row r="29" spans="1:15" x14ac:dyDescent="0.3">
      <c r="A29" s="42" t="s">
        <v>136</v>
      </c>
      <c r="B29" s="44">
        <f>+Historicals!B185</f>
        <v>0.12</v>
      </c>
      <c r="C29" s="44">
        <f>+Historicals!C185</f>
        <v>0.08</v>
      </c>
      <c r="D29" s="44">
        <f>+Historicals!D185</f>
        <v>0.03</v>
      </c>
      <c r="E29" s="44">
        <f>+Historicals!E185</f>
        <v>0.01</v>
      </c>
      <c r="F29" s="44">
        <f>+Historicals!F185</f>
        <v>7.0000000000000007E-2</v>
      </c>
      <c r="G29" s="44">
        <f>+Historicals!G185</f>
        <v>-0.12</v>
      </c>
      <c r="H29" s="44">
        <f>+Historicals!H185</f>
        <v>0.08</v>
      </c>
      <c r="I29" s="44">
        <f>+Historicals!I185</f>
        <v>0.09</v>
      </c>
      <c r="J29" s="46">
        <f>Assumptions!B6</f>
        <v>0.1</v>
      </c>
      <c r="K29" s="46">
        <f>Assumptions!C6</f>
        <v>0.105</v>
      </c>
      <c r="L29" s="46">
        <f>Assumptions!D6</f>
        <v>0.11</v>
      </c>
      <c r="M29" s="46">
        <f>Assumptions!E6</f>
        <v>0.115</v>
      </c>
      <c r="N29" s="46">
        <f>Assumptions!F6</f>
        <v>0.12</v>
      </c>
    </row>
    <row r="30" spans="1:15" x14ac:dyDescent="0.3">
      <c r="A30" s="42" t="s">
        <v>137</v>
      </c>
      <c r="B30" s="44" t="str">
        <f t="shared" ref="B30" si="58">+IFERROR(B28-B29,"nm")</f>
        <v>nm</v>
      </c>
      <c r="C30" s="44">
        <f t="shared" ref="C30" si="59">+IFERROR(C28-C29,"nm")</f>
        <v>-3.8095238095238598E-3</v>
      </c>
      <c r="D30" s="44">
        <f t="shared" ref="D30" si="60">+IFERROR(D28-D29,"nm")</f>
        <v>-5.0147492625371437E-4</v>
      </c>
      <c r="E30" s="44">
        <f t="shared" ref="E30" si="61">+IFERROR(E28-E29,"nm")</f>
        <v>6.4265247646334324E-4</v>
      </c>
      <c r="F30" s="44">
        <f t="shared" ref="F30" si="62">+IFERROR(F28-F29,"nm")</f>
        <v>-4.7914135277439818E-3</v>
      </c>
      <c r="G30" s="44">
        <f t="shared" ref="G30" si="63">+IFERROR(G28-G29,"nm")</f>
        <v>1.9391634980988615E-3</v>
      </c>
      <c r="H30" s="44">
        <f t="shared" ref="H30" si="64">+IFERROR(H28-H29,"nm")</f>
        <v>3.8542789394265392E-3</v>
      </c>
      <c r="I30" s="44">
        <f>+IFERROR(I28-I29,"nm")</f>
        <v>2.2832140015910107E-3</v>
      </c>
      <c r="J30" s="46">
        <v>0</v>
      </c>
      <c r="K30" s="46">
        <f t="shared" ref="K30:N30" si="65">+J30</f>
        <v>0</v>
      </c>
      <c r="L30" s="46">
        <f t="shared" si="65"/>
        <v>0</v>
      </c>
      <c r="M30" s="46">
        <f t="shared" si="65"/>
        <v>0</v>
      </c>
      <c r="N30" s="46">
        <f t="shared" si="65"/>
        <v>0</v>
      </c>
    </row>
    <row r="31" spans="1:15" s="1" customFormat="1" x14ac:dyDescent="0.3">
      <c r="A31" s="48" t="s">
        <v>114</v>
      </c>
      <c r="B31" s="9">
        <f>+Historicals!B114</f>
        <v>824</v>
      </c>
      <c r="C31" s="9">
        <f>+Historicals!C114</f>
        <v>719</v>
      </c>
      <c r="D31" s="9">
        <f>+Historicals!D114</f>
        <v>646</v>
      </c>
      <c r="E31" s="9">
        <f>+Historicals!E114</f>
        <v>595</v>
      </c>
      <c r="F31" s="9">
        <f>+Historicals!F114</f>
        <v>597</v>
      </c>
      <c r="G31" s="9">
        <f>+Historicals!G114</f>
        <v>516</v>
      </c>
      <c r="H31" s="9">
        <f>+Historicals!H114</f>
        <v>507</v>
      </c>
      <c r="I31" s="9">
        <f>+Historicals!I114</f>
        <v>633</v>
      </c>
      <c r="J31" s="9">
        <f>+I31*(1+J32)</f>
        <v>639.33000000000004</v>
      </c>
      <c r="K31" s="9">
        <f t="shared" ref="K31" si="66">+J31*(1+K32)</f>
        <v>645.72329999999999</v>
      </c>
      <c r="L31" s="9">
        <f t="shared" ref="L31" si="67">+K31*(1+L32)</f>
        <v>671.552232</v>
      </c>
      <c r="M31" s="9">
        <f t="shared" ref="M31" si="68">+L31*(1+M32)</f>
        <v>698.41432128000008</v>
      </c>
      <c r="N31" s="9">
        <f t="shared" ref="N31" si="69">+M31*(1+N32)</f>
        <v>705.39846449280014</v>
      </c>
    </row>
    <row r="32" spans="1:15" x14ac:dyDescent="0.3">
      <c r="A32" s="42" t="s">
        <v>128</v>
      </c>
      <c r="B32" s="44" t="str">
        <f t="shared" ref="B32" si="70">+IFERROR(B31/A31-1,"nm")</f>
        <v>nm</v>
      </c>
      <c r="C32" s="44">
        <f t="shared" ref="C32" si="71">+IFERROR(C31/B31-1,"nm")</f>
        <v>-0.12742718446601942</v>
      </c>
      <c r="D32" s="44">
        <f t="shared" ref="D32" si="72">+IFERROR(D31/C31-1,"nm")</f>
        <v>-0.10152990264255912</v>
      </c>
      <c r="E32" s="44">
        <f t="shared" ref="E32" si="73">+IFERROR(E31/D31-1,"nm")</f>
        <v>-7.8947368421052655E-2</v>
      </c>
      <c r="F32" s="44">
        <f t="shared" ref="F32" si="74">+IFERROR(F31/E31-1,"nm")</f>
        <v>3.3613445378151141E-3</v>
      </c>
      <c r="G32" s="44">
        <f t="shared" ref="G32" si="75">+IFERROR(G31/F31-1,"nm")</f>
        <v>-0.13567839195979903</v>
      </c>
      <c r="H32" s="44">
        <f t="shared" ref="H32" si="76">+IFERROR(H31/G31-1,"nm")</f>
        <v>-1.744186046511631E-2</v>
      </c>
      <c r="I32" s="44">
        <f>+IFERROR(I31/H31-1,"nm")</f>
        <v>0.24852071005917153</v>
      </c>
      <c r="J32" s="44">
        <f>+J33+J34</f>
        <v>0.01</v>
      </c>
      <c r="K32" s="44">
        <f t="shared" ref="K32" si="77">+K33+K34</f>
        <v>0.01</v>
      </c>
      <c r="L32" s="44">
        <f t="shared" ref="L32" si="78">+L33+L34</f>
        <v>0.04</v>
      </c>
      <c r="M32" s="44">
        <f t="shared" ref="M32" si="79">+M33+M34</f>
        <v>0.04</v>
      </c>
      <c r="N32" s="44">
        <f t="shared" ref="N32" si="80">+N33+N34</f>
        <v>0.01</v>
      </c>
      <c r="O32" t="s">
        <v>240</v>
      </c>
    </row>
    <row r="33" spans="1:14" x14ac:dyDescent="0.3">
      <c r="A33" s="42" t="s">
        <v>136</v>
      </c>
      <c r="B33" s="44">
        <f>Historicals!B186</f>
        <v>-0.05</v>
      </c>
      <c r="C33" s="44">
        <f>Historicals!C186</f>
        <v>-0.13</v>
      </c>
      <c r="D33" s="44">
        <f>Historicals!D186</f>
        <v>-0.1</v>
      </c>
      <c r="E33" s="44">
        <f>Historicals!E186</f>
        <v>-0.08</v>
      </c>
      <c r="F33" s="44">
        <f>Historicals!F186</f>
        <v>0</v>
      </c>
      <c r="G33" s="44">
        <f>Historicals!G186</f>
        <v>-0.14000000000000001</v>
      </c>
      <c r="H33" s="44">
        <f>Historicals!H186</f>
        <v>-0.02</v>
      </c>
      <c r="I33" s="44">
        <f>Historicals!I186</f>
        <v>0.25</v>
      </c>
      <c r="J33" s="46">
        <f>Assumptions!B7</f>
        <v>0.01</v>
      </c>
      <c r="K33" s="46">
        <f>Assumptions!C7</f>
        <v>0.01</v>
      </c>
      <c r="L33" s="46">
        <f>Assumptions!D7</f>
        <v>0.04</v>
      </c>
      <c r="M33" s="46">
        <f>Assumptions!E7</f>
        <v>0.04</v>
      </c>
      <c r="N33" s="46">
        <f>Assumptions!F7</f>
        <v>0.01</v>
      </c>
    </row>
    <row r="34" spans="1:14" x14ac:dyDescent="0.3">
      <c r="A34" s="42" t="s">
        <v>137</v>
      </c>
      <c r="B34" s="44" t="str">
        <f t="shared" ref="B34" si="81">+IFERROR(B32-B33,"nm")</f>
        <v>nm</v>
      </c>
      <c r="C34" s="44">
        <f t="shared" ref="C34" si="82">+IFERROR(C32-C33,"nm")</f>
        <v>2.572815533980588E-3</v>
      </c>
      <c r="D34" s="44">
        <f t="shared" ref="D34" si="83">+IFERROR(D32-D33,"nm")</f>
        <v>-1.5299026425591167E-3</v>
      </c>
      <c r="E34" s="44">
        <f t="shared" ref="E34" si="84">+IFERROR(E32-E33,"nm")</f>
        <v>1.0526315789473467E-3</v>
      </c>
      <c r="F34" s="44">
        <f t="shared" ref="F34" si="85">+IFERROR(F32-F33,"nm")</f>
        <v>3.3613445378151141E-3</v>
      </c>
      <c r="G34" s="44">
        <f t="shared" ref="G34" si="86">+IFERROR(G32-G33,"nm")</f>
        <v>4.321608040200986E-3</v>
      </c>
      <c r="H34" s="44">
        <f t="shared" ref="H34" si="87">+IFERROR(H32-H33,"nm")</f>
        <v>2.5581395348836904E-3</v>
      </c>
      <c r="I34" s="44">
        <f>+IFERROR(I32-I33,"nm")</f>
        <v>-1.4792899408284654E-3</v>
      </c>
      <c r="J34" s="46">
        <v>0</v>
      </c>
      <c r="K34" s="46">
        <f t="shared" ref="K34:N34" si="88">+J34</f>
        <v>0</v>
      </c>
      <c r="L34" s="46">
        <f t="shared" si="88"/>
        <v>0</v>
      </c>
      <c r="M34" s="46">
        <f t="shared" si="88"/>
        <v>0</v>
      </c>
      <c r="N34" s="46">
        <f t="shared" si="88"/>
        <v>0</v>
      </c>
    </row>
    <row r="35" spans="1:14" x14ac:dyDescent="0.3">
      <c r="A35" s="9" t="s">
        <v>129</v>
      </c>
      <c r="B35" s="45">
        <f>+B42+B38</f>
        <v>3766</v>
      </c>
      <c r="C35" s="45">
        <f t="shared" ref="C35:H35" si="89">+C42+C38</f>
        <v>3896</v>
      </c>
      <c r="D35" s="45">
        <f t="shared" si="89"/>
        <v>4015</v>
      </c>
      <c r="E35" s="45">
        <f t="shared" si="89"/>
        <v>3760</v>
      </c>
      <c r="F35" s="45">
        <f t="shared" si="89"/>
        <v>4074</v>
      </c>
      <c r="G35" s="45">
        <f t="shared" si="89"/>
        <v>3047</v>
      </c>
      <c r="H35" s="45">
        <f t="shared" si="89"/>
        <v>5219</v>
      </c>
      <c r="I35" s="45">
        <f>+I42+I38</f>
        <v>5238</v>
      </c>
      <c r="J35" s="45">
        <f>+J21*J37</f>
        <v>5870.6526000000013</v>
      </c>
      <c r="K35" s="45">
        <f t="shared" ref="K35:N35" si="90">+K21*K37</f>
        <v>6271.6590444000003</v>
      </c>
      <c r="L35" s="45">
        <f t="shared" si="90"/>
        <v>6825.7228223520005</v>
      </c>
      <c r="M35" s="45">
        <f t="shared" si="90"/>
        <v>7529.5514167812007</v>
      </c>
      <c r="N35" s="45">
        <f t="shared" si="90"/>
        <v>8090.5150263737096</v>
      </c>
    </row>
    <row r="36" spans="1:14" x14ac:dyDescent="0.3">
      <c r="A36" s="43" t="s">
        <v>128</v>
      </c>
      <c r="B36" s="44" t="str">
        <f t="shared" ref="B36" si="91">+IFERROR(B35/A35-1,"nm")</f>
        <v>nm</v>
      </c>
      <c r="C36" s="44">
        <f t="shared" ref="C36" si="92">+IFERROR(C35/B35-1,"nm")</f>
        <v>3.4519383961763239E-2</v>
      </c>
      <c r="D36" s="44">
        <f t="shared" ref="D36" si="93">+IFERROR(D35/C35-1,"nm")</f>
        <v>3.0544147843942548E-2</v>
      </c>
      <c r="E36" s="44">
        <f t="shared" ref="E36" si="94">+IFERROR(E35/D35-1,"nm")</f>
        <v>-6.3511830635118338E-2</v>
      </c>
      <c r="F36" s="44">
        <f t="shared" ref="F36" si="95">+IFERROR(F35/E35-1,"nm")</f>
        <v>8.3510638297872308E-2</v>
      </c>
      <c r="G36" s="44">
        <f t="shared" ref="G36" si="96">+IFERROR(G35/F35-1,"nm")</f>
        <v>-0.25208640157093765</v>
      </c>
      <c r="H36" s="44">
        <f t="shared" ref="H36" si="97">+IFERROR(H35/G35-1,"nm")</f>
        <v>0.71283229405973092</v>
      </c>
      <c r="I36" s="44">
        <f>+IFERROR(I35/H35-1,"nm")</f>
        <v>3.6405441655489312E-3</v>
      </c>
      <c r="J36" s="44">
        <f>+IFERROR(J35/I35-1,"nm")</f>
        <v>0.1207813287514321</v>
      </c>
      <c r="K36" s="44">
        <f t="shared" ref="K36:N36" si="98">+IFERROR(K35/J35-1,"nm")</f>
        <v>6.8306962057335774E-2</v>
      </c>
      <c r="L36" s="44">
        <f t="shared" si="98"/>
        <v>8.8344052830283681E-2</v>
      </c>
      <c r="M36" s="44">
        <f t="shared" si="98"/>
        <v>0.10311414816382425</v>
      </c>
      <c r="N36" s="44">
        <f t="shared" si="98"/>
        <v>7.4501597577550482E-2</v>
      </c>
    </row>
    <row r="37" spans="1:14" x14ac:dyDescent="0.3">
      <c r="A37" s="43" t="s">
        <v>130</v>
      </c>
      <c r="B37" s="44">
        <f t="shared" ref="B37:H37" si="99">+IFERROR(B35/B$21,"nm")</f>
        <v>0.27409024745269289</v>
      </c>
      <c r="C37" s="44">
        <f t="shared" si="99"/>
        <v>0.26388512598211866</v>
      </c>
      <c r="D37" s="44">
        <f t="shared" si="99"/>
        <v>0.26386698212407994</v>
      </c>
      <c r="E37" s="44">
        <f t="shared" si="99"/>
        <v>0.25311342982160889</v>
      </c>
      <c r="F37" s="44">
        <f t="shared" si="99"/>
        <v>0.25619418941013711</v>
      </c>
      <c r="G37" s="44">
        <f t="shared" si="99"/>
        <v>0.2103700635183651</v>
      </c>
      <c r="H37" s="44">
        <f t="shared" si="99"/>
        <v>0.30380115256999823</v>
      </c>
      <c r="I37" s="44">
        <f>+IFERROR(I35/I$21,"nm")</f>
        <v>0.28540293140086087</v>
      </c>
      <c r="J37" s="46">
        <f>Assumptions!B8</f>
        <v>0.3</v>
      </c>
      <c r="K37" s="46">
        <f>Assumptions!C8</f>
        <v>0.3</v>
      </c>
      <c r="L37" s="46">
        <f>Assumptions!D8</f>
        <v>0.3</v>
      </c>
      <c r="M37" s="46">
        <f>Assumptions!E8</f>
        <v>0.3</v>
      </c>
      <c r="N37" s="46">
        <f>Assumptions!F8</f>
        <v>0.3</v>
      </c>
    </row>
    <row r="38" spans="1:14" x14ac:dyDescent="0.3">
      <c r="A38" s="9" t="s">
        <v>131</v>
      </c>
      <c r="B38" s="9">
        <f>+Historicals!B171</f>
        <v>121</v>
      </c>
      <c r="C38" s="9">
        <f>+Historicals!C171</f>
        <v>133</v>
      </c>
      <c r="D38" s="9">
        <f>+Historicals!D171</f>
        <v>140</v>
      </c>
      <c r="E38" s="9">
        <f>+Historicals!E171</f>
        <v>160</v>
      </c>
      <c r="F38" s="9">
        <f>+Historicals!F171</f>
        <v>149</v>
      </c>
      <c r="G38" s="9">
        <f>+Historicals!G171</f>
        <v>148</v>
      </c>
      <c r="H38" s="9">
        <f>+Historicals!H171</f>
        <v>130</v>
      </c>
      <c r="I38" s="9">
        <f>+Historicals!I171</f>
        <v>124</v>
      </c>
      <c r="J38" s="45">
        <f>+J41*J48</f>
        <v>195.68842000000006</v>
      </c>
      <c r="K38" s="45">
        <f t="shared" ref="K38:N38" si="100">+K41*K48</f>
        <v>209.05530148000003</v>
      </c>
      <c r="L38" s="45">
        <f t="shared" si="100"/>
        <v>227.52409407840003</v>
      </c>
      <c r="M38" s="45">
        <f t="shared" si="100"/>
        <v>250.98504722604008</v>
      </c>
      <c r="N38" s="45">
        <f t="shared" si="100"/>
        <v>269.68383421245704</v>
      </c>
    </row>
    <row r="39" spans="1:14" x14ac:dyDescent="0.3">
      <c r="A39" s="43" t="s">
        <v>128</v>
      </c>
      <c r="B39" s="44" t="str">
        <f t="shared" ref="B39" si="101">+IFERROR(B38/A38-1,"nm")</f>
        <v>nm</v>
      </c>
      <c r="C39" s="44">
        <f t="shared" ref="C39" si="102">+IFERROR(C38/B38-1,"nm")</f>
        <v>9.9173553719008156E-2</v>
      </c>
      <c r="D39" s="44">
        <f t="shared" ref="D39" si="103">+IFERROR(D38/C38-1,"nm")</f>
        <v>5.2631578947368363E-2</v>
      </c>
      <c r="E39" s="44">
        <f t="shared" ref="E39" si="104">+IFERROR(E38/D38-1,"nm")</f>
        <v>0.14285714285714279</v>
      </c>
      <c r="F39" s="44">
        <f t="shared" ref="F39" si="105">+IFERROR(F38/E38-1,"nm")</f>
        <v>-6.8749999999999978E-2</v>
      </c>
      <c r="G39" s="44">
        <f t="shared" ref="G39" si="106">+IFERROR(G38/F38-1,"nm")</f>
        <v>-6.7114093959731447E-3</v>
      </c>
      <c r="H39" s="44">
        <f t="shared" ref="H39" si="107">+IFERROR(H38/G38-1,"nm")</f>
        <v>-0.1216216216216216</v>
      </c>
      <c r="I39" s="44">
        <f>+IFERROR(I38/H38-1,"nm")</f>
        <v>-4.6153846153846101E-2</v>
      </c>
      <c r="J39" s="44">
        <f>+IFERROR(J38/I38-1,"nm")</f>
        <v>0.57813241935483917</v>
      </c>
      <c r="K39" s="44">
        <f t="shared" ref="K39" si="108">+IFERROR(K38/J38-1,"nm")</f>
        <v>6.8306962057335552E-2</v>
      </c>
      <c r="L39" s="44">
        <f t="shared" ref="L39" si="109">+IFERROR(L38/K38-1,"nm")</f>
        <v>8.8344052830283681E-2</v>
      </c>
      <c r="M39" s="44">
        <f t="shared" ref="M39" si="110">+IFERROR(M38/L38-1,"nm")</f>
        <v>0.10311414816382447</v>
      </c>
      <c r="N39" s="44">
        <f t="shared" ref="N39" si="111">+IFERROR(N38/M38-1,"nm")</f>
        <v>7.4501597577550482E-2</v>
      </c>
    </row>
    <row r="40" spans="1:14" x14ac:dyDescent="0.3">
      <c r="A40" s="43" t="s">
        <v>132</v>
      </c>
      <c r="B40" s="44">
        <f t="shared" ref="B40:H40" si="112">+IFERROR(B38/B$21,"nm")</f>
        <v>8.8064046579330417E-3</v>
      </c>
      <c r="C40" s="44">
        <f t="shared" si="112"/>
        <v>9.0083988079111346E-3</v>
      </c>
      <c r="D40" s="44">
        <f t="shared" si="112"/>
        <v>9.2008412197686646E-3</v>
      </c>
      <c r="E40" s="44">
        <f t="shared" si="112"/>
        <v>1.0770784247728038E-2</v>
      </c>
      <c r="F40" s="44">
        <f t="shared" si="112"/>
        <v>9.3698905798012821E-3</v>
      </c>
      <c r="G40" s="44">
        <f t="shared" si="112"/>
        <v>1.0218171775752554E-2</v>
      </c>
      <c r="H40" s="44">
        <f t="shared" si="112"/>
        <v>7.5673787764130628E-3</v>
      </c>
      <c r="I40" s="44">
        <f>+IFERROR(I38/I$21,"nm")</f>
        <v>6.7563886013185855E-3</v>
      </c>
      <c r="J40" s="44">
        <f>+IFERROR(J38/J$21,"nm")</f>
        <v>1.0000000000000002E-2</v>
      </c>
      <c r="K40" s="44">
        <f t="shared" ref="K40:N40" si="113">+IFERROR(K38/K$21,"nm")</f>
        <v>0.01</v>
      </c>
      <c r="L40" s="44">
        <f t="shared" si="113"/>
        <v>0.01</v>
      </c>
      <c r="M40" s="44">
        <f t="shared" si="113"/>
        <v>1.0000000000000002E-2</v>
      </c>
      <c r="N40" s="44">
        <f t="shared" si="113"/>
        <v>1.0000000000000002E-2</v>
      </c>
    </row>
    <row r="41" spans="1:14" x14ac:dyDescent="0.3">
      <c r="A41" s="43" t="s">
        <v>139</v>
      </c>
      <c r="B41" s="44">
        <f t="shared" ref="B41:H41" si="114">+IFERROR(B38/B48,"nm")</f>
        <v>0.19145569620253164</v>
      </c>
      <c r="C41" s="44">
        <f t="shared" si="114"/>
        <v>0.17924528301886791</v>
      </c>
      <c r="D41" s="44">
        <f t="shared" si="114"/>
        <v>0.17094017094017094</v>
      </c>
      <c r="E41" s="44">
        <f t="shared" si="114"/>
        <v>0.18867924528301888</v>
      </c>
      <c r="F41" s="44">
        <f t="shared" si="114"/>
        <v>0.18304668304668303</v>
      </c>
      <c r="G41" s="44">
        <f t="shared" si="114"/>
        <v>0.22945736434108527</v>
      </c>
      <c r="H41" s="44">
        <f t="shared" si="114"/>
        <v>0.21069692058346839</v>
      </c>
      <c r="I41" s="44">
        <f>+IFERROR(I38/I48,"nm")</f>
        <v>0.19405320813771518</v>
      </c>
      <c r="J41" s="46">
        <f>Assumptions!B9</f>
        <v>0.2</v>
      </c>
      <c r="K41" s="46">
        <f t="shared" ref="K41:N41" si="115">+J41</f>
        <v>0.2</v>
      </c>
      <c r="L41" s="46">
        <f t="shared" si="115"/>
        <v>0.2</v>
      </c>
      <c r="M41" s="46">
        <f t="shared" si="115"/>
        <v>0.2</v>
      </c>
      <c r="N41" s="46">
        <f t="shared" si="115"/>
        <v>0.2</v>
      </c>
    </row>
    <row r="42" spans="1:14" x14ac:dyDescent="0.3">
      <c r="A42" s="9" t="s">
        <v>133</v>
      </c>
      <c r="B42" s="9">
        <f>+Historicals!B138</f>
        <v>3645</v>
      </c>
      <c r="C42" s="9">
        <f>+Historicals!C138</f>
        <v>3763</v>
      </c>
      <c r="D42" s="9">
        <f>+Historicals!D138</f>
        <v>3875</v>
      </c>
      <c r="E42" s="9">
        <f>+Historicals!E138</f>
        <v>3600</v>
      </c>
      <c r="F42" s="9">
        <f>+Historicals!F138</f>
        <v>3925</v>
      </c>
      <c r="G42" s="9">
        <f>+Historicals!G138</f>
        <v>2899</v>
      </c>
      <c r="H42" s="9">
        <f>+Historicals!H138</f>
        <v>5089</v>
      </c>
      <c r="I42" s="9">
        <f>+Historicals!I138</f>
        <v>5114</v>
      </c>
      <c r="J42" s="9">
        <f>+J35-J38</f>
        <v>5674.9641800000009</v>
      </c>
      <c r="K42" s="9">
        <f t="shared" ref="K42:N42" si="116">+K35-K38</f>
        <v>6062.6037429200005</v>
      </c>
      <c r="L42" s="9">
        <f t="shared" si="116"/>
        <v>6598.1987282736009</v>
      </c>
      <c r="M42" s="9">
        <f t="shared" si="116"/>
        <v>7278.5663695551602</v>
      </c>
      <c r="N42" s="9">
        <f t="shared" si="116"/>
        <v>7820.8311921612521</v>
      </c>
    </row>
    <row r="43" spans="1:14" x14ac:dyDescent="0.3">
      <c r="A43" s="43" t="s">
        <v>128</v>
      </c>
      <c r="B43" s="44" t="str">
        <f t="shared" ref="B43" si="117">+IFERROR(B42/A42-1,"nm")</f>
        <v>nm</v>
      </c>
      <c r="C43" s="44">
        <f t="shared" ref="C43" si="118">+IFERROR(C42/B42-1,"nm")</f>
        <v>3.2373113854595292E-2</v>
      </c>
      <c r="D43" s="44">
        <f t="shared" ref="D43" si="119">+IFERROR(D42/C42-1,"nm")</f>
        <v>2.9763486579856391E-2</v>
      </c>
      <c r="E43" s="44">
        <f t="shared" ref="E43" si="120">+IFERROR(E42/D42-1,"nm")</f>
        <v>-7.096774193548383E-2</v>
      </c>
      <c r="F43" s="44">
        <f t="shared" ref="F43" si="121">+IFERROR(F42/E42-1,"nm")</f>
        <v>9.0277777777777679E-2</v>
      </c>
      <c r="G43" s="44">
        <f t="shared" ref="G43" si="122">+IFERROR(G42/F42-1,"nm")</f>
        <v>-0.26140127388535028</v>
      </c>
      <c r="H43" s="44">
        <f t="shared" ref="H43" si="123">+IFERROR(H42/G42-1,"nm")</f>
        <v>0.75543290789927564</v>
      </c>
      <c r="I43" s="44">
        <f>+IFERROR(I42/H42-1,"nm")</f>
        <v>4.9125564943997002E-3</v>
      </c>
      <c r="J43" s="44">
        <f>+IFERROR(J42/I42-1,"nm")</f>
        <v>0.10969186155651167</v>
      </c>
      <c r="K43" s="44">
        <f t="shared" ref="K43:N43" si="124">+IFERROR(K42/J42-1,"nm")</f>
        <v>6.8306962057335774E-2</v>
      </c>
      <c r="L43" s="44">
        <f t="shared" si="124"/>
        <v>8.8344052830283681E-2</v>
      </c>
      <c r="M43" s="44">
        <f t="shared" si="124"/>
        <v>0.10311414816382403</v>
      </c>
      <c r="N43" s="44">
        <f t="shared" si="124"/>
        <v>7.4501597577550482E-2</v>
      </c>
    </row>
    <row r="44" spans="1:14" x14ac:dyDescent="0.3">
      <c r="A44" s="43" t="s">
        <v>130</v>
      </c>
      <c r="B44" s="44">
        <f t="shared" ref="B44:H44" si="125">+IFERROR(B42/B$21,"nm")</f>
        <v>0.26528384279475981</v>
      </c>
      <c r="C44" s="44">
        <f t="shared" si="125"/>
        <v>0.25487672717420751</v>
      </c>
      <c r="D44" s="44">
        <f t="shared" si="125"/>
        <v>0.25466614090431128</v>
      </c>
      <c r="E44" s="44">
        <f t="shared" si="125"/>
        <v>0.24234264557388085</v>
      </c>
      <c r="F44" s="44">
        <f t="shared" si="125"/>
        <v>0.2468242988303358</v>
      </c>
      <c r="G44" s="44">
        <f t="shared" si="125"/>
        <v>0.20015189174261253</v>
      </c>
      <c r="H44" s="44">
        <f t="shared" si="125"/>
        <v>0.29623377379358518</v>
      </c>
      <c r="I44" s="44">
        <f>+IFERROR(I42/I$21,"nm")</f>
        <v>0.27864654279954232</v>
      </c>
      <c r="J44" s="44">
        <f>+IFERROR(J42/J$21,"nm")</f>
        <v>0.28999999999999998</v>
      </c>
      <c r="K44" s="44">
        <f t="shared" ref="K44:N44" si="126">+IFERROR(K42/K$21,"nm")</f>
        <v>0.28999999999999998</v>
      </c>
      <c r="L44" s="44">
        <f t="shared" si="126"/>
        <v>0.29000000000000004</v>
      </c>
      <c r="M44" s="44">
        <f t="shared" si="126"/>
        <v>0.28999999999999998</v>
      </c>
      <c r="N44" s="44">
        <f t="shared" si="126"/>
        <v>0.28999999999999998</v>
      </c>
    </row>
    <row r="45" spans="1:14" x14ac:dyDescent="0.3">
      <c r="A45" s="9" t="s">
        <v>134</v>
      </c>
      <c r="B45" s="9">
        <f>+Historicals!B160</f>
        <v>208</v>
      </c>
      <c r="C45" s="9">
        <f>+Historicals!C160</f>
        <v>242</v>
      </c>
      <c r="D45" s="9">
        <f>+Historicals!D160</f>
        <v>223</v>
      </c>
      <c r="E45" s="9">
        <f>+Historicals!E160</f>
        <v>196</v>
      </c>
      <c r="F45" s="9">
        <f>+Historicals!F160</f>
        <v>117</v>
      </c>
      <c r="G45" s="9">
        <f>+Historicals!G160</f>
        <v>110</v>
      </c>
      <c r="H45" s="9">
        <f>+Historicals!H160</f>
        <v>98</v>
      </c>
      <c r="I45" s="9">
        <f>+Historicals!I160</f>
        <v>146</v>
      </c>
      <c r="J45" s="45">
        <f>+J21*J47</f>
        <v>176.11957800000002</v>
      </c>
      <c r="K45" s="45">
        <f t="shared" ref="K45:N45" si="127">+K21*K47</f>
        <v>188.149771332</v>
      </c>
      <c r="L45" s="45">
        <f t="shared" si="127"/>
        <v>204.77168467056001</v>
      </c>
      <c r="M45" s="45">
        <f t="shared" si="127"/>
        <v>225.88654250343603</v>
      </c>
      <c r="N45" s="45">
        <f t="shared" si="127"/>
        <v>242.71545079121128</v>
      </c>
    </row>
    <row r="46" spans="1:14" x14ac:dyDescent="0.3">
      <c r="A46" s="43" t="s">
        <v>128</v>
      </c>
      <c r="B46" s="44" t="str">
        <f t="shared" ref="B46" si="128">+IFERROR(B45/A45-1,"nm")</f>
        <v>nm</v>
      </c>
      <c r="C46" s="44">
        <f t="shared" ref="C46" si="129">+IFERROR(C45/B45-1,"nm")</f>
        <v>0.16346153846153855</v>
      </c>
      <c r="D46" s="44">
        <f t="shared" ref="D46" si="130">+IFERROR(D45/C45-1,"nm")</f>
        <v>-7.8512396694214837E-2</v>
      </c>
      <c r="E46" s="44">
        <f t="shared" ref="E46" si="131">+IFERROR(E45/D45-1,"nm")</f>
        <v>-0.12107623318385652</v>
      </c>
      <c r="F46" s="44">
        <f t="shared" ref="F46" si="132">+IFERROR(F45/E45-1,"nm")</f>
        <v>-0.40306122448979587</v>
      </c>
      <c r="G46" s="44">
        <f t="shared" ref="G46" si="133">+IFERROR(G45/F45-1,"nm")</f>
        <v>-5.9829059829059839E-2</v>
      </c>
      <c r="H46" s="44">
        <f t="shared" ref="H46" si="134">+IFERROR(H45/G45-1,"nm")</f>
        <v>-0.10909090909090913</v>
      </c>
      <c r="I46" s="44">
        <f>+IFERROR(I45/H45-1,"nm")</f>
        <v>0.48979591836734704</v>
      </c>
      <c r="J46" s="44">
        <f>+IFERROR(J45/I45-1,"nm")</f>
        <v>0.20629847945205482</v>
      </c>
      <c r="K46" s="44">
        <f t="shared" ref="K46" si="135">+IFERROR(K45/J45-1,"nm")</f>
        <v>6.8306962057335774E-2</v>
      </c>
      <c r="L46" s="44">
        <f t="shared" ref="L46" si="136">+IFERROR(L45/K45-1,"nm")</f>
        <v>8.8344052830283681E-2</v>
      </c>
      <c r="M46" s="44">
        <f t="shared" ref="M46" si="137">+IFERROR(M45/L45-1,"nm")</f>
        <v>0.10311414816382425</v>
      </c>
      <c r="N46" s="44">
        <f t="shared" ref="N46" si="138">+IFERROR(N45/M45-1,"nm")</f>
        <v>7.4501597577550482E-2</v>
      </c>
    </row>
    <row r="47" spans="1:14" x14ac:dyDescent="0.3">
      <c r="A47" s="43" t="s">
        <v>132</v>
      </c>
      <c r="B47" s="44">
        <f t="shared" ref="B47:H47" si="139">+IFERROR(B45/B$21,"nm")</f>
        <v>1.5138282387190683E-2</v>
      </c>
      <c r="C47" s="44">
        <f t="shared" si="139"/>
        <v>1.6391221891086428E-2</v>
      </c>
      <c r="D47" s="44">
        <f t="shared" si="139"/>
        <v>1.4655625657202945E-2</v>
      </c>
      <c r="E47" s="44">
        <f t="shared" si="139"/>
        <v>1.3194210703466847E-2</v>
      </c>
      <c r="F47" s="44">
        <f t="shared" si="139"/>
        <v>7.3575650861526856E-3</v>
      </c>
      <c r="G47" s="44">
        <f t="shared" si="139"/>
        <v>7.5945871306268989E-3</v>
      </c>
      <c r="H47" s="44">
        <f t="shared" si="139"/>
        <v>5.7046393852960009E-3</v>
      </c>
      <c r="I47" s="44">
        <f>+IFERROR(I45/I$21,"nm")</f>
        <v>7.9551027080041418E-3</v>
      </c>
      <c r="J47" s="46">
        <f>Assumptions!B11</f>
        <v>8.9999999999999993E-3</v>
      </c>
      <c r="K47" s="46">
        <f>Assumptions!C11</f>
        <v>8.9999999999999993E-3</v>
      </c>
      <c r="L47" s="46">
        <f>Assumptions!D11</f>
        <v>8.9999999999999993E-3</v>
      </c>
      <c r="M47" s="46">
        <f>Assumptions!E11</f>
        <v>8.9999999999999993E-3</v>
      </c>
      <c r="N47" s="46">
        <f>Assumptions!F11</f>
        <v>8.9999999999999993E-3</v>
      </c>
    </row>
    <row r="48" spans="1:14" x14ac:dyDescent="0.3">
      <c r="A48" s="9" t="s">
        <v>140</v>
      </c>
      <c r="B48" s="9">
        <f>+Historicals!B149</f>
        <v>632</v>
      </c>
      <c r="C48" s="9">
        <f>+Historicals!C149</f>
        <v>742</v>
      </c>
      <c r="D48" s="9">
        <f>+Historicals!D149</f>
        <v>819</v>
      </c>
      <c r="E48" s="9">
        <f>+Historicals!E149</f>
        <v>848</v>
      </c>
      <c r="F48" s="9">
        <f>+Historicals!F149</f>
        <v>814</v>
      </c>
      <c r="G48" s="9">
        <f>+Historicals!G149</f>
        <v>645</v>
      </c>
      <c r="H48" s="9">
        <f>+Historicals!H149</f>
        <v>617</v>
      </c>
      <c r="I48" s="9">
        <f>+Historicals!I149</f>
        <v>639</v>
      </c>
      <c r="J48" s="45">
        <f>+J21*J50</f>
        <v>978.44210000000021</v>
      </c>
      <c r="K48" s="45">
        <f t="shared" ref="K48:N48" si="140">+K21*K50</f>
        <v>1045.2765074000001</v>
      </c>
      <c r="L48" s="45">
        <f t="shared" si="140"/>
        <v>1137.620470392</v>
      </c>
      <c r="M48" s="45">
        <f t="shared" si="140"/>
        <v>1254.9252361302003</v>
      </c>
      <c r="N48" s="45">
        <f t="shared" si="140"/>
        <v>1348.4191710622852</v>
      </c>
    </row>
    <row r="49" spans="1:14" x14ac:dyDescent="0.3">
      <c r="A49" s="43" t="s">
        <v>128</v>
      </c>
      <c r="B49" s="44" t="str">
        <f t="shared" ref="B49" si="141">+IFERROR(B48/A48-1,"nm")</f>
        <v>nm</v>
      </c>
      <c r="C49" s="44">
        <f t="shared" ref="C49" si="142">+IFERROR(C48/B48-1,"nm")</f>
        <v>0.17405063291139244</v>
      </c>
      <c r="D49" s="44">
        <f t="shared" ref="D49" si="143">+IFERROR(D48/C48-1,"nm")</f>
        <v>0.10377358490566047</v>
      </c>
      <c r="E49" s="44">
        <f t="shared" ref="E49" si="144">+IFERROR(E48/D48-1,"nm")</f>
        <v>3.5409035409035505E-2</v>
      </c>
      <c r="F49" s="44">
        <f t="shared" ref="F49" si="145">+IFERROR(F48/E48-1,"nm")</f>
        <v>-4.0094339622641528E-2</v>
      </c>
      <c r="G49" s="44">
        <f t="shared" ref="G49" si="146">+IFERROR(G48/F48-1,"nm")</f>
        <v>-0.20761670761670759</v>
      </c>
      <c r="H49" s="44">
        <f t="shared" ref="H49" si="147">+IFERROR(H48/G48-1,"nm")</f>
        <v>-4.3410852713178349E-2</v>
      </c>
      <c r="I49" s="44">
        <f>+IFERROR(I48/H48-1,"nm")</f>
        <v>3.5656401944894611E-2</v>
      </c>
      <c r="J49" s="44">
        <f>+J50+J51</f>
        <v>0.05</v>
      </c>
      <c r="K49" s="44">
        <f t="shared" ref="K49" si="148">+K50+K51</f>
        <v>0.05</v>
      </c>
      <c r="L49" s="44">
        <f t="shared" ref="L49" si="149">+L50+L51</f>
        <v>0.05</v>
      </c>
      <c r="M49" s="44">
        <f t="shared" ref="M49" si="150">+M50+M51</f>
        <v>0.05</v>
      </c>
      <c r="N49" s="44">
        <f t="shared" ref="N49" si="151">+N50+N51</f>
        <v>0.05</v>
      </c>
    </row>
    <row r="50" spans="1:14" x14ac:dyDescent="0.3">
      <c r="A50" s="43" t="s">
        <v>132</v>
      </c>
      <c r="B50" s="44">
        <f t="shared" ref="B50:H50" si="152">+IFERROR(B48/B$21,"nm")</f>
        <v>4.599708879184862E-2</v>
      </c>
      <c r="C50" s="44">
        <f t="shared" si="152"/>
        <v>5.0257382823083174E-2</v>
      </c>
      <c r="D50" s="44">
        <f t="shared" si="152"/>
        <v>5.3824921135646686E-2</v>
      </c>
      <c r="E50" s="44">
        <f t="shared" si="152"/>
        <v>5.7085156512958597E-2</v>
      </c>
      <c r="F50" s="44">
        <f t="shared" si="152"/>
        <v>5.1188529744686205E-2</v>
      </c>
      <c r="G50" s="44">
        <f t="shared" si="152"/>
        <v>4.4531897265948632E-2</v>
      </c>
      <c r="H50" s="44">
        <f t="shared" si="152"/>
        <v>3.5915943884975841E-2</v>
      </c>
      <c r="I50" s="44">
        <f>+IFERROR(I48/I$21,"nm")</f>
        <v>3.4817196098730456E-2</v>
      </c>
      <c r="J50" s="46">
        <f>Assumptions!B10</f>
        <v>0.05</v>
      </c>
      <c r="K50" s="46">
        <f t="shared" ref="K50:N50" si="153">+J50</f>
        <v>0.05</v>
      </c>
      <c r="L50" s="46">
        <f t="shared" si="153"/>
        <v>0.05</v>
      </c>
      <c r="M50" s="46">
        <f t="shared" si="153"/>
        <v>0.05</v>
      </c>
      <c r="N50" s="46">
        <f t="shared" si="153"/>
        <v>0.05</v>
      </c>
    </row>
    <row r="51" spans="1:14" x14ac:dyDescent="0.3">
      <c r="A51" s="41" t="str">
        <f>Historicals!A187</f>
        <v>Europe, Middle East &amp; Africa</v>
      </c>
      <c r="B51" s="41"/>
      <c r="C51" s="41"/>
      <c r="D51" s="41"/>
      <c r="E51" s="41"/>
      <c r="F51" s="41"/>
      <c r="G51" s="41"/>
      <c r="H51" s="41"/>
      <c r="I51" s="41"/>
      <c r="J51" s="37"/>
      <c r="K51" s="37"/>
      <c r="L51" s="37"/>
      <c r="M51" s="37"/>
      <c r="N51" s="37"/>
    </row>
    <row r="52" spans="1:14" x14ac:dyDescent="0.3">
      <c r="A52" s="9" t="s">
        <v>135</v>
      </c>
      <c r="B52" s="9">
        <f t="shared" ref="B52:I52" si="154">+SUM(B54+B58+B62)</f>
        <v>11779</v>
      </c>
      <c r="C52" s="9">
        <f t="shared" si="154"/>
        <v>11885</v>
      </c>
      <c r="D52" s="9">
        <f t="shared" si="154"/>
        <v>7970</v>
      </c>
      <c r="E52" s="9">
        <f t="shared" si="154"/>
        <v>9242</v>
      </c>
      <c r="F52" s="9">
        <f t="shared" si="154"/>
        <v>9812</v>
      </c>
      <c r="G52" s="9">
        <f t="shared" si="154"/>
        <v>9347</v>
      </c>
      <c r="H52" s="9">
        <f t="shared" si="154"/>
        <v>11456</v>
      </c>
      <c r="I52" s="9">
        <f t="shared" si="154"/>
        <v>12479</v>
      </c>
      <c r="J52" s="9">
        <f>+SUM(J54+J58+J62)</f>
        <v>14091.73</v>
      </c>
      <c r="K52" s="9">
        <f t="shared" ref="K52:N52" si="155">+SUM(K54+K58+K62)</f>
        <v>15928.473200000002</v>
      </c>
      <c r="L52" s="9">
        <f t="shared" si="155"/>
        <v>18026.389702</v>
      </c>
      <c r="M52" s="9">
        <f t="shared" si="155"/>
        <v>20618.053744360001</v>
      </c>
      <c r="N52" s="9">
        <f t="shared" si="155"/>
        <v>23490.354693918449</v>
      </c>
    </row>
    <row r="53" spans="1:14" x14ac:dyDescent="0.3">
      <c r="A53" s="42" t="s">
        <v>128</v>
      </c>
      <c r="B53" s="44" t="str">
        <f t="shared" ref="B53" si="156">+IFERROR(B52/A52-1,"nm")</f>
        <v>nm</v>
      </c>
      <c r="C53" s="44">
        <f t="shared" ref="C53" si="157">+IFERROR(C52/B52-1,"nm")</f>
        <v>8.9990661346464051E-3</v>
      </c>
      <c r="D53" s="44">
        <f t="shared" ref="D53" si="158">+IFERROR(D52/C52-1,"nm")</f>
        <v>-0.32940681531342031</v>
      </c>
      <c r="E53" s="44">
        <f t="shared" ref="E53" si="159">+IFERROR(E52/D52-1,"nm")</f>
        <v>0.15959849435382689</v>
      </c>
      <c r="F53" s="44">
        <f t="shared" ref="F53" si="160">+IFERROR(F52/E52-1,"nm")</f>
        <v>6.1674962129409261E-2</v>
      </c>
      <c r="G53" s="44">
        <f t="shared" ref="G53" si="161">+IFERROR(G52/F52-1,"nm")</f>
        <v>-4.7390949857317621E-2</v>
      </c>
      <c r="H53" s="44">
        <f t="shared" ref="H53" si="162">+IFERROR(H52/G52-1,"nm")</f>
        <v>0.22563389322777372</v>
      </c>
      <c r="I53" s="44">
        <f>+IFERROR(I52/H52-1,"nm")</f>
        <v>8.9298184357541999E-2</v>
      </c>
      <c r="J53" s="44">
        <f>+IFERROR(J52/I52-1,"nm")</f>
        <v>0.12923551566631941</v>
      </c>
      <c r="K53" s="44">
        <f t="shared" ref="K53" si="163">+IFERROR(K52/J52-1,"nm")</f>
        <v>0.1303419239511403</v>
      </c>
      <c r="L53" s="44">
        <f t="shared" ref="L53" si="164">+IFERROR(L52/K52-1,"nm")</f>
        <v>0.13170857467996355</v>
      </c>
      <c r="M53" s="44">
        <f t="shared" ref="M53" si="165">+IFERROR(M52/L52-1,"nm")</f>
        <v>0.14377055445952447</v>
      </c>
      <c r="N53" s="44">
        <f t="shared" ref="N53" si="166">+IFERROR(N52/M52-1,"nm")</f>
        <v>0.13930999429779622</v>
      </c>
    </row>
    <row r="54" spans="1:14" x14ac:dyDescent="0.3">
      <c r="A54" s="48" t="s">
        <v>112</v>
      </c>
      <c r="B54" s="9">
        <f>+Historicals!B116</f>
        <v>7796</v>
      </c>
      <c r="C54" s="9">
        <f>+Historicals!C116</f>
        <v>7973</v>
      </c>
      <c r="D54" s="9">
        <f>+Historicals!D116</f>
        <v>5192</v>
      </c>
      <c r="E54" s="9">
        <f>+Historicals!E116</f>
        <v>5875</v>
      </c>
      <c r="F54" s="9">
        <f>+Historicals!F116</f>
        <v>6293</v>
      </c>
      <c r="G54" s="9">
        <f>+Historicals!G116</f>
        <v>5892</v>
      </c>
      <c r="H54" s="9">
        <f>+Historicals!H116</f>
        <v>6970</v>
      </c>
      <c r="I54" s="9">
        <f>+Historicals!I116</f>
        <v>7388</v>
      </c>
      <c r="J54" s="9">
        <f>+I54*(1+J55)</f>
        <v>8126.8000000000011</v>
      </c>
      <c r="K54" s="9">
        <f t="shared" ref="K54" si="167">+J54*(1+K55)</f>
        <v>8939.4800000000014</v>
      </c>
      <c r="L54" s="9">
        <f t="shared" ref="L54" si="168">+K54*(1+L55)</f>
        <v>9833.4280000000017</v>
      </c>
      <c r="M54" s="9">
        <f t="shared" ref="M54" si="169">+L54*(1+M55)</f>
        <v>11013.439360000002</v>
      </c>
      <c r="N54" s="9">
        <f t="shared" ref="N54" si="170">+M54*(1+N55)</f>
        <v>12224.917689600003</v>
      </c>
    </row>
    <row r="55" spans="1:14" x14ac:dyDescent="0.3">
      <c r="A55" s="42" t="s">
        <v>128</v>
      </c>
      <c r="B55" s="44" t="str">
        <f t="shared" ref="B55" si="171">+IFERROR(B54/A54-1,"nm")</f>
        <v>nm</v>
      </c>
      <c r="C55" s="44">
        <f t="shared" ref="C55" si="172">+IFERROR(C54/B54-1,"nm")</f>
        <v>2.2703950743971246E-2</v>
      </c>
      <c r="D55" s="44">
        <f t="shared" ref="D55" si="173">+IFERROR(D54/C54-1,"nm")</f>
        <v>-0.34880220745014423</v>
      </c>
      <c r="E55" s="44">
        <f t="shared" ref="E55" si="174">+IFERROR(E54/D54-1,"nm")</f>
        <v>0.1315485362095532</v>
      </c>
      <c r="F55" s="44">
        <f t="shared" ref="F55" si="175">+IFERROR(F54/E54-1,"nm")</f>
        <v>7.1148936170212673E-2</v>
      </c>
      <c r="G55" s="44">
        <f t="shared" ref="G55" si="176">+IFERROR(G54/F54-1,"nm")</f>
        <v>-6.3721595423486432E-2</v>
      </c>
      <c r="H55" s="44">
        <f t="shared" ref="H55" si="177">+IFERROR(H54/G54-1,"nm")</f>
        <v>0.18295994568907004</v>
      </c>
      <c r="I55" s="44">
        <f>+IFERROR(I54/H54-1,"nm")</f>
        <v>5.9971305595408975E-2</v>
      </c>
      <c r="J55" s="44">
        <f>+J56+J57</f>
        <v>0.1</v>
      </c>
      <c r="K55" s="44">
        <f t="shared" ref="K55:N55" si="178">+K56+K57</f>
        <v>0.1</v>
      </c>
      <c r="L55" s="44">
        <f t="shared" si="178"/>
        <v>0.1</v>
      </c>
      <c r="M55" s="44">
        <f t="shared" si="178"/>
        <v>0.12</v>
      </c>
      <c r="N55" s="44">
        <f t="shared" si="178"/>
        <v>0.11</v>
      </c>
    </row>
    <row r="56" spans="1:14" x14ac:dyDescent="0.3">
      <c r="A56" s="42" t="s">
        <v>136</v>
      </c>
      <c r="B56" s="44">
        <f>+Historicals!B188</f>
        <v>0.79</v>
      </c>
      <c r="C56" s="44">
        <f>+Historicals!C188</f>
        <v>0.85</v>
      </c>
      <c r="D56" s="44">
        <f>+Historicals!D188</f>
        <v>0.08</v>
      </c>
      <c r="E56" s="44">
        <f>+Historicals!E188</f>
        <v>0.06</v>
      </c>
      <c r="F56" s="44">
        <f>+Historicals!F188</f>
        <v>0.12</v>
      </c>
      <c r="G56" s="44">
        <f>+Historicals!G188</f>
        <v>-0.03</v>
      </c>
      <c r="H56" s="44">
        <f>+Historicals!H188</f>
        <v>0.13</v>
      </c>
      <c r="I56" s="44">
        <f>+Historicals!I188</f>
        <v>0.09</v>
      </c>
      <c r="J56" s="46">
        <f>Assumptions!B13</f>
        <v>0.1</v>
      </c>
      <c r="K56" s="46">
        <f>Assumptions!C13</f>
        <v>0.1</v>
      </c>
      <c r="L56" s="46">
        <f>Assumptions!D13</f>
        <v>0.1</v>
      </c>
      <c r="M56" s="46">
        <f>Assumptions!E13</f>
        <v>0.12</v>
      </c>
      <c r="N56" s="46">
        <f>Assumptions!F13</f>
        <v>0.11</v>
      </c>
    </row>
    <row r="57" spans="1:14" x14ac:dyDescent="0.3">
      <c r="A57" s="42" t="s">
        <v>137</v>
      </c>
      <c r="B57" s="44" t="str">
        <f>+IFERROR(B55-B56,"nm")</f>
        <v>nm</v>
      </c>
      <c r="C57" s="44">
        <f t="shared" ref="C57:H57" si="179">+IFERROR(C55-C56,"nm")</f>
        <v>-0.82729604925602873</v>
      </c>
      <c r="D57" s="44">
        <f t="shared" si="179"/>
        <v>-0.42880220745014425</v>
      </c>
      <c r="E57" s="44">
        <f t="shared" si="179"/>
        <v>7.1548536209553204E-2</v>
      </c>
      <c r="F57" s="44">
        <f t="shared" si="179"/>
        <v>-4.8851063829787322E-2</v>
      </c>
      <c r="G57" s="44">
        <f t="shared" si="179"/>
        <v>-3.3721595423486433E-2</v>
      </c>
      <c r="H57" s="44">
        <f t="shared" si="179"/>
        <v>5.2959945689070032E-2</v>
      </c>
      <c r="I57" s="44">
        <f>+IFERROR(I55-I56,"nm")</f>
        <v>-3.0028694404591022E-2</v>
      </c>
      <c r="J57" s="46">
        <v>0</v>
      </c>
      <c r="K57" s="46">
        <f t="shared" ref="K57" si="180">+J57</f>
        <v>0</v>
      </c>
      <c r="L57" s="46">
        <f t="shared" ref="L57" si="181">+K57</f>
        <v>0</v>
      </c>
      <c r="M57" s="46">
        <f t="shared" ref="M57" si="182">+L57</f>
        <v>0</v>
      </c>
      <c r="N57" s="46">
        <f t="shared" ref="N57" si="183">+M57</f>
        <v>0</v>
      </c>
    </row>
    <row r="58" spans="1:14" x14ac:dyDescent="0.3">
      <c r="A58" s="48" t="s">
        <v>113</v>
      </c>
      <c r="B58" s="9">
        <f>Historicals!B117</f>
        <v>3302</v>
      </c>
      <c r="C58" s="9">
        <f>Historicals!C117</f>
        <v>3266</v>
      </c>
      <c r="D58" s="9">
        <f>Historicals!D117</f>
        <v>2395</v>
      </c>
      <c r="E58" s="9">
        <f>Historicals!E117</f>
        <v>2940</v>
      </c>
      <c r="F58" s="9">
        <f>Historicals!F117</f>
        <v>3087</v>
      </c>
      <c r="G58" s="9">
        <f>Historicals!G117</f>
        <v>3053</v>
      </c>
      <c r="H58" s="9">
        <f>Historicals!H117</f>
        <v>3996</v>
      </c>
      <c r="I58" s="9">
        <f>Historicals!I117</f>
        <v>4527</v>
      </c>
      <c r="J58" s="9">
        <f>+I58*(1+J59)</f>
        <v>5296.5899999999992</v>
      </c>
      <c r="K58" s="9">
        <f t="shared" ref="K58" si="184">+J58*(1+K59)</f>
        <v>6197.010299999999</v>
      </c>
      <c r="L58" s="9">
        <f t="shared" ref="L58" si="185">+K58*(1+L59)</f>
        <v>7250.5020509999986</v>
      </c>
      <c r="M58" s="9">
        <f t="shared" ref="M58" si="186">+L58*(1+M59)</f>
        <v>8483.0873996699975</v>
      </c>
      <c r="N58" s="9">
        <f t="shared" ref="N58" si="187">+M58*(1+N59)</f>
        <v>9925.2122576138972</v>
      </c>
    </row>
    <row r="59" spans="1:14" x14ac:dyDescent="0.3">
      <c r="A59" s="42" t="s">
        <v>128</v>
      </c>
      <c r="B59" s="44" t="str">
        <f t="shared" ref="B59" si="188">+IFERROR(B58/A58-1,"nm")</f>
        <v>nm</v>
      </c>
      <c r="C59" s="44">
        <f t="shared" ref="C59" si="189">+IFERROR(C58/B58-1,"nm")</f>
        <v>-1.0902483343428249E-2</v>
      </c>
      <c r="D59" s="44">
        <f t="shared" ref="D59" si="190">+IFERROR(D58/C58-1,"nm")</f>
        <v>-0.26668707899571342</v>
      </c>
      <c r="E59" s="44">
        <f t="shared" ref="E59" si="191">+IFERROR(E58/D58-1,"nm")</f>
        <v>0.22755741127348639</v>
      </c>
      <c r="F59" s="44">
        <f t="shared" ref="F59" si="192">+IFERROR(F58/E58-1,"nm")</f>
        <v>5.0000000000000044E-2</v>
      </c>
      <c r="G59" s="44">
        <f t="shared" ref="G59" si="193">+IFERROR(G58/F58-1,"nm")</f>
        <v>-1.1013929381276322E-2</v>
      </c>
      <c r="H59" s="44">
        <f t="shared" ref="H59" si="194">+IFERROR(H58/G58-1,"nm")</f>
        <v>0.30887651490337364</v>
      </c>
      <c r="I59" s="44">
        <f>+IFERROR(I58/H58-1,"nm")</f>
        <v>0.13288288288288297</v>
      </c>
      <c r="J59" s="44">
        <f>+J60+J61</f>
        <v>0.17</v>
      </c>
      <c r="K59" s="44">
        <f t="shared" ref="K59:N59" si="195">+K60+K61</f>
        <v>0.17</v>
      </c>
      <c r="L59" s="44">
        <f t="shared" si="195"/>
        <v>0.17</v>
      </c>
      <c r="M59" s="44">
        <f t="shared" si="195"/>
        <v>0.17</v>
      </c>
      <c r="N59" s="44">
        <f t="shared" si="195"/>
        <v>0.17</v>
      </c>
    </row>
    <row r="60" spans="1:14" x14ac:dyDescent="0.3">
      <c r="A60" s="42" t="s">
        <v>136</v>
      </c>
      <c r="B60" s="44">
        <f>+Historicals!B189</f>
        <v>0.16</v>
      </c>
      <c r="C60" s="44">
        <f>+Historicals!C189</f>
        <v>0.41</v>
      </c>
      <c r="D60" s="44">
        <f>+Historicals!D189</f>
        <v>0.17</v>
      </c>
      <c r="E60" s="44">
        <f>+Historicals!E189</f>
        <v>0.16</v>
      </c>
      <c r="F60" s="44">
        <f>+Historicals!F189</f>
        <v>0.09</v>
      </c>
      <c r="G60" s="44">
        <f>+Historicals!G189</f>
        <v>0.02</v>
      </c>
      <c r="H60" s="44">
        <f>+Historicals!H189</f>
        <v>0.25</v>
      </c>
      <c r="I60" s="44">
        <f>+Historicals!I189</f>
        <v>0.16</v>
      </c>
      <c r="J60" s="46">
        <f>Assumptions!B14</f>
        <v>0.17</v>
      </c>
      <c r="K60" s="46">
        <f>Assumptions!C14</f>
        <v>0.17</v>
      </c>
      <c r="L60" s="46">
        <f>Assumptions!D14</f>
        <v>0.17</v>
      </c>
      <c r="M60" s="46">
        <f>Assumptions!E14</f>
        <v>0.17</v>
      </c>
      <c r="N60" s="46">
        <f>Assumptions!F14</f>
        <v>0.17</v>
      </c>
    </row>
    <row r="61" spans="1:14" x14ac:dyDescent="0.3">
      <c r="A61" s="42" t="s">
        <v>137</v>
      </c>
      <c r="B61" s="44" t="str">
        <f t="shared" ref="B61:H61" si="196">+IFERROR(B59-B60,"nm")</f>
        <v>nm</v>
      </c>
      <c r="C61" s="44">
        <f t="shared" si="196"/>
        <v>-0.42090248334342822</v>
      </c>
      <c r="D61" s="44">
        <f t="shared" si="196"/>
        <v>-0.43668707899571346</v>
      </c>
      <c r="E61" s="44">
        <f t="shared" si="196"/>
        <v>6.7557411273486384E-2</v>
      </c>
      <c r="F61" s="44">
        <f t="shared" si="196"/>
        <v>-3.9999999999999952E-2</v>
      </c>
      <c r="G61" s="44">
        <f t="shared" si="196"/>
        <v>-3.1013929381276322E-2</v>
      </c>
      <c r="H61" s="44">
        <f t="shared" si="196"/>
        <v>5.8876514903373645E-2</v>
      </c>
      <c r="I61" s="44">
        <f>+IFERROR(I59-I60,"nm")</f>
        <v>-2.7117117117117034E-2</v>
      </c>
      <c r="J61" s="46">
        <v>0</v>
      </c>
      <c r="K61" s="46">
        <f t="shared" ref="K61" si="197">+J61</f>
        <v>0</v>
      </c>
      <c r="L61" s="46">
        <f t="shared" ref="L61" si="198">+K61</f>
        <v>0</v>
      </c>
      <c r="M61" s="46">
        <f t="shared" ref="M61" si="199">+L61</f>
        <v>0</v>
      </c>
      <c r="N61" s="46">
        <f t="shared" ref="N61" si="200">+M61</f>
        <v>0</v>
      </c>
    </row>
    <row r="62" spans="1:14" x14ac:dyDescent="0.3">
      <c r="A62" s="48" t="s">
        <v>114</v>
      </c>
      <c r="B62" s="9">
        <f>+Historicals!B118</f>
        <v>681</v>
      </c>
      <c r="C62" s="9">
        <f>+Historicals!C118</f>
        <v>646</v>
      </c>
      <c r="D62" s="9">
        <f>+Historicals!D118</f>
        <v>383</v>
      </c>
      <c r="E62" s="9">
        <f>+Historicals!E118</f>
        <v>427</v>
      </c>
      <c r="F62" s="9">
        <f>+Historicals!F118</f>
        <v>432</v>
      </c>
      <c r="G62" s="9">
        <f>+Historicals!G118</f>
        <v>402</v>
      </c>
      <c r="H62" s="9">
        <f>+Historicals!H118</f>
        <v>490</v>
      </c>
      <c r="I62" s="9">
        <f>+Historicals!I118</f>
        <v>564</v>
      </c>
      <c r="J62" s="9">
        <f>+I62*(1+J63)</f>
        <v>668.34</v>
      </c>
      <c r="K62" s="9">
        <f t="shared" ref="K62" si="201">+J62*(1+K63)</f>
        <v>791.98290000000009</v>
      </c>
      <c r="L62" s="9">
        <f t="shared" ref="L62" si="202">+K62*(1+L63)</f>
        <v>942.45965100000001</v>
      </c>
      <c r="M62" s="9">
        <f t="shared" ref="M62" si="203">+L62*(1+M63)</f>
        <v>1121.5269846900001</v>
      </c>
      <c r="N62" s="9">
        <f t="shared" ref="N62" si="204">+M62*(1+N63)</f>
        <v>1340.2247467045502</v>
      </c>
    </row>
    <row r="63" spans="1:14" x14ac:dyDescent="0.3">
      <c r="A63" s="42" t="s">
        <v>128</v>
      </c>
      <c r="B63" s="44" t="str">
        <f t="shared" ref="B63" si="205">+IFERROR(B62/A62-1,"nm")</f>
        <v>nm</v>
      </c>
      <c r="C63" s="44">
        <f t="shared" ref="C63" si="206">+IFERROR(C62/B62-1,"nm")</f>
        <v>-5.1395007342143861E-2</v>
      </c>
      <c r="D63" s="44">
        <f t="shared" ref="D63" si="207">+IFERROR(D62/C62-1,"nm")</f>
        <v>-0.40712074303405577</v>
      </c>
      <c r="E63" s="44">
        <f t="shared" ref="E63" si="208">+IFERROR(E62/D62-1,"nm")</f>
        <v>0.11488250652741505</v>
      </c>
      <c r="F63" s="44">
        <f t="shared" ref="F63" si="209">+IFERROR(F62/E62-1,"nm")</f>
        <v>1.1709601873536313E-2</v>
      </c>
      <c r="G63" s="44">
        <f t="shared" ref="G63" si="210">+IFERROR(G62/F62-1,"nm")</f>
        <v>-6.944444444444442E-2</v>
      </c>
      <c r="H63" s="44">
        <f t="shared" ref="H63" si="211">+IFERROR(H62/G62-1,"nm")</f>
        <v>0.21890547263681581</v>
      </c>
      <c r="I63" s="44">
        <f>+IFERROR(I62/H62-1,"nm")</f>
        <v>0.15102040816326534</v>
      </c>
      <c r="J63" s="44">
        <f>+J64+J65</f>
        <v>0.185</v>
      </c>
      <c r="K63" s="44">
        <f t="shared" ref="K63:N63" si="212">+K64+K65</f>
        <v>0.185</v>
      </c>
      <c r="L63" s="44">
        <f t="shared" si="212"/>
        <v>0.19</v>
      </c>
      <c r="M63" s="44">
        <f t="shared" si="212"/>
        <v>0.19</v>
      </c>
      <c r="N63" s="44">
        <f t="shared" si="212"/>
        <v>0.19500000000000001</v>
      </c>
    </row>
    <row r="64" spans="1:14" x14ac:dyDescent="0.3">
      <c r="A64" s="42" t="s">
        <v>136</v>
      </c>
      <c r="B64" s="44">
        <f>+Historicals!B190</f>
        <v>0.28000000000000003</v>
      </c>
      <c r="C64" s="44">
        <f>+Historicals!C190</f>
        <v>0.28999999999999998</v>
      </c>
      <c r="D64" s="44">
        <f>+Historicals!D190</f>
        <v>7.0000000000000007E-2</v>
      </c>
      <c r="E64" s="44">
        <f>+Historicals!E190</f>
        <v>0.06</v>
      </c>
      <c r="F64" s="44">
        <f>+Historicals!F190</f>
        <v>0.05</v>
      </c>
      <c r="G64" s="44">
        <f>+Historicals!G190</f>
        <v>-0.03</v>
      </c>
      <c r="H64" s="44">
        <f>+Historicals!H190</f>
        <v>0.19</v>
      </c>
      <c r="I64" s="44">
        <f>+Historicals!I190</f>
        <v>0.17</v>
      </c>
      <c r="J64" s="46">
        <f>Assumptions!B15</f>
        <v>0.185</v>
      </c>
      <c r="K64" s="46">
        <f>Assumptions!C15</f>
        <v>0.185</v>
      </c>
      <c r="L64" s="46">
        <f>Assumptions!D15</f>
        <v>0.19</v>
      </c>
      <c r="M64" s="46">
        <f>Assumptions!E15</f>
        <v>0.19</v>
      </c>
      <c r="N64" s="46">
        <f>Assumptions!F15</f>
        <v>0.19500000000000001</v>
      </c>
    </row>
    <row r="65" spans="1:14" x14ac:dyDescent="0.3">
      <c r="A65" s="42" t="s">
        <v>137</v>
      </c>
      <c r="B65" s="44" t="str">
        <f t="shared" ref="B65:H65" si="213">+IFERROR(B63-B64,"nm")</f>
        <v>nm</v>
      </c>
      <c r="C65" s="44">
        <f t="shared" si="213"/>
        <v>-0.34139500734214384</v>
      </c>
      <c r="D65" s="44">
        <f t="shared" si="213"/>
        <v>-0.47712074303405577</v>
      </c>
      <c r="E65" s="44">
        <f t="shared" si="213"/>
        <v>5.4882506527415054E-2</v>
      </c>
      <c r="F65" s="44">
        <f t="shared" si="213"/>
        <v>-3.829039812646369E-2</v>
      </c>
      <c r="G65" s="44">
        <f t="shared" si="213"/>
        <v>-3.9444444444444421E-2</v>
      </c>
      <c r="H65" s="44">
        <f t="shared" si="213"/>
        <v>2.890547263681581E-2</v>
      </c>
      <c r="I65" s="44">
        <f>+IFERROR(I63-I64,"nm")</f>
        <v>-1.8979591836734672E-2</v>
      </c>
      <c r="J65" s="46">
        <v>0</v>
      </c>
      <c r="K65" s="46">
        <f t="shared" ref="K65" si="214">+J65</f>
        <v>0</v>
      </c>
      <c r="L65" s="46">
        <f t="shared" ref="L65" si="215">+K65</f>
        <v>0</v>
      </c>
      <c r="M65" s="46">
        <f t="shared" ref="M65" si="216">+L65</f>
        <v>0</v>
      </c>
      <c r="N65" s="46">
        <f t="shared" ref="N65" si="217">+M65</f>
        <v>0</v>
      </c>
    </row>
    <row r="66" spans="1:14" x14ac:dyDescent="0.3">
      <c r="A66" s="9" t="s">
        <v>129</v>
      </c>
      <c r="B66" s="45">
        <f>+B73+B69</f>
        <v>2578</v>
      </c>
      <c r="C66" s="45">
        <f t="shared" ref="C66:H66" si="218">+C73+C69</f>
        <v>2916</v>
      </c>
      <c r="D66" s="45">
        <f t="shared" si="218"/>
        <v>1667</v>
      </c>
      <c r="E66" s="45">
        <f t="shared" si="218"/>
        <v>1703</v>
      </c>
      <c r="F66" s="45">
        <f t="shared" si="218"/>
        <v>2106</v>
      </c>
      <c r="G66" s="45">
        <f t="shared" si="218"/>
        <v>1673</v>
      </c>
      <c r="H66" s="45">
        <f t="shared" si="218"/>
        <v>2571</v>
      </c>
      <c r="I66" s="45">
        <f>+I73+I69</f>
        <v>3427</v>
      </c>
      <c r="J66" s="45">
        <f>+J52*J68</f>
        <v>4016.1430499999997</v>
      </c>
      <c r="K66" s="45">
        <f t="shared" ref="K66:N66" si="219">+K52*K68</f>
        <v>4539.6148620000004</v>
      </c>
      <c r="L66" s="45">
        <f t="shared" si="219"/>
        <v>5137.5210650700001</v>
      </c>
      <c r="M66" s="45">
        <f t="shared" si="219"/>
        <v>5876.1453171426001</v>
      </c>
      <c r="N66" s="45">
        <f t="shared" si="219"/>
        <v>6694.7510877667573</v>
      </c>
    </row>
    <row r="67" spans="1:14" x14ac:dyDescent="0.3">
      <c r="A67" s="43" t="s">
        <v>128</v>
      </c>
      <c r="B67" s="44" t="str">
        <f t="shared" ref="B67" si="220">+IFERROR(B66/A66-1,"nm")</f>
        <v>nm</v>
      </c>
      <c r="C67" s="44">
        <f t="shared" ref="C67" si="221">+IFERROR(C66/B66-1,"nm")</f>
        <v>0.13110938712179987</v>
      </c>
      <c r="D67" s="44">
        <f t="shared" ref="D67" si="222">+IFERROR(D66/C66-1,"nm")</f>
        <v>-0.42832647462277096</v>
      </c>
      <c r="E67" s="44">
        <f t="shared" ref="E67" si="223">+IFERROR(E66/D66-1,"nm")</f>
        <v>2.1595680863827127E-2</v>
      </c>
      <c r="F67" s="44">
        <f t="shared" ref="F67" si="224">+IFERROR(F66/E66-1,"nm")</f>
        <v>0.23664122137404586</v>
      </c>
      <c r="G67" s="44">
        <f t="shared" ref="G67" si="225">+IFERROR(G66/F66-1,"nm")</f>
        <v>-0.20560303893637222</v>
      </c>
      <c r="H67" s="44">
        <f t="shared" ref="H67" si="226">+IFERROR(H66/G66-1,"nm")</f>
        <v>0.53676031081888831</v>
      </c>
      <c r="I67" s="44">
        <f>+IFERROR(I66/H66-1,"nm")</f>
        <v>0.33294437961882539</v>
      </c>
      <c r="J67" s="44">
        <f>+IFERROR(J66/I66-1,"nm")</f>
        <v>0.17191218266705555</v>
      </c>
      <c r="K67" s="44">
        <f t="shared" ref="K67" si="227">+IFERROR(K66/J66-1,"nm")</f>
        <v>0.1303419239511403</v>
      </c>
      <c r="L67" s="44">
        <f>+IFERROR(L66/K66-1,"nm")</f>
        <v>0.13170857467996355</v>
      </c>
      <c r="M67" s="44">
        <f t="shared" ref="M67" si="228">+IFERROR(M66/L66-1,"nm")</f>
        <v>0.14377055445952447</v>
      </c>
      <c r="N67" s="44">
        <f t="shared" ref="N67" si="229">+IFERROR(N66/M66-1,"nm")</f>
        <v>0.13930999429779622</v>
      </c>
    </row>
    <row r="68" spans="1:14" x14ac:dyDescent="0.3">
      <c r="A68" s="43" t="s">
        <v>130</v>
      </c>
      <c r="B68" s="44">
        <f t="shared" ref="B68:H68" si="230">+IFERROR(B66/B$52,"nm")</f>
        <v>0.2188640801426267</v>
      </c>
      <c r="C68" s="44">
        <f t="shared" si="230"/>
        <v>0.2453512831299958</v>
      </c>
      <c r="D68" s="44">
        <f t="shared" si="230"/>
        <v>0.20915934755332496</v>
      </c>
      <c r="E68" s="44">
        <f t="shared" si="230"/>
        <v>0.18426747457260334</v>
      </c>
      <c r="F68" s="44">
        <f t="shared" si="230"/>
        <v>0.21463514064410924</v>
      </c>
      <c r="G68" s="44">
        <f t="shared" si="230"/>
        <v>0.17898791055953783</v>
      </c>
      <c r="H68" s="44">
        <f t="shared" si="230"/>
        <v>0.22442388268156424</v>
      </c>
      <c r="I68" s="44">
        <f>+IFERROR(I66/I$52,"nm")</f>
        <v>0.27462136389133746</v>
      </c>
      <c r="J68" s="46">
        <f>Assumptions!B16</f>
        <v>0.28499999999999998</v>
      </c>
      <c r="K68" s="46">
        <f>Assumptions!C16</f>
        <v>0.28499999999999998</v>
      </c>
      <c r="L68" s="46">
        <f>Assumptions!D16</f>
        <v>0.28499999999999998</v>
      </c>
      <c r="M68" s="46">
        <f>Assumptions!E16</f>
        <v>0.28499999999999998</v>
      </c>
      <c r="N68" s="46">
        <f>Assumptions!F16</f>
        <v>0.28499999999999998</v>
      </c>
    </row>
    <row r="69" spans="1:14" x14ac:dyDescent="0.3">
      <c r="A69" s="9" t="s">
        <v>131</v>
      </c>
      <c r="B69" s="9">
        <f>+Historicals!B172</f>
        <v>136</v>
      </c>
      <c r="C69" s="9">
        <f>+Historicals!C172</f>
        <v>127</v>
      </c>
      <c r="D69" s="9">
        <f>+Historicals!D172</f>
        <v>160</v>
      </c>
      <c r="E69" s="9">
        <f>+Historicals!E172</f>
        <v>116</v>
      </c>
      <c r="F69" s="9">
        <f>+Historicals!F172</f>
        <v>111</v>
      </c>
      <c r="G69" s="9">
        <f>+Historicals!G172</f>
        <v>132</v>
      </c>
      <c r="H69" s="9">
        <f>+Historicals!H172</f>
        <v>136</v>
      </c>
      <c r="I69" s="9">
        <f>+Historicals!I172</f>
        <v>134</v>
      </c>
      <c r="J69" s="49">
        <f>+J72*J79</f>
        <v>190.23835499999998</v>
      </c>
      <c r="K69" s="45">
        <f t="shared" ref="K69:N69" si="231">+K72*K79</f>
        <v>215.03438820000002</v>
      </c>
      <c r="L69" s="45">
        <f t="shared" si="231"/>
        <v>243.35626097700001</v>
      </c>
      <c r="M69" s="45">
        <f t="shared" si="231"/>
        <v>278.34372554885999</v>
      </c>
      <c r="N69" s="45">
        <f t="shared" si="231"/>
        <v>317.11978836789905</v>
      </c>
    </row>
    <row r="70" spans="1:14" x14ac:dyDescent="0.3">
      <c r="A70" s="43" t="s">
        <v>128</v>
      </c>
      <c r="B70" s="44" t="str">
        <f t="shared" ref="B70" si="232">+IFERROR(B69/A69-1,"nm")</f>
        <v>nm</v>
      </c>
      <c r="C70" s="44">
        <f t="shared" ref="C70" si="233">+IFERROR(C69/B69-1,"nm")</f>
        <v>-6.6176470588235281E-2</v>
      </c>
      <c r="D70" s="44">
        <f t="shared" ref="D70" si="234">+IFERROR(D69/C69-1,"nm")</f>
        <v>0.25984251968503935</v>
      </c>
      <c r="E70" s="44">
        <f t="shared" ref="E70" si="235">+IFERROR(E69/D69-1,"nm")</f>
        <v>-0.27500000000000002</v>
      </c>
      <c r="F70" s="44">
        <f t="shared" ref="F70" si="236">+IFERROR(F69/E69-1,"nm")</f>
        <v>-4.31034482758621E-2</v>
      </c>
      <c r="G70" s="44">
        <f t="shared" ref="G70" si="237">+IFERROR(G69/F69-1,"nm")</f>
        <v>0.18918918918918926</v>
      </c>
      <c r="H70" s="44">
        <f t="shared" ref="H70" si="238">+IFERROR(H69/G69-1,"nm")</f>
        <v>3.0303030303030276E-2</v>
      </c>
      <c r="I70" s="44">
        <f>+IFERROR(I69/H69-1,"nm")</f>
        <v>-1.4705882352941124E-2</v>
      </c>
      <c r="J70" s="44">
        <f>+IFERROR(J69/I69-1,"nm")</f>
        <v>0.41968921641791024</v>
      </c>
      <c r="K70" s="44">
        <f t="shared" ref="K70" si="239">+IFERROR(K69/J69-1,"nm")</f>
        <v>0.1303419239511403</v>
      </c>
      <c r="L70" s="44">
        <f t="shared" ref="L70" si="240">+IFERROR(L69/K69-1,"nm")</f>
        <v>0.13170857467996355</v>
      </c>
      <c r="M70" s="44">
        <f t="shared" ref="M70" si="241">+IFERROR(M69/L69-1,"nm")</f>
        <v>0.14377055445952425</v>
      </c>
      <c r="N70" s="44">
        <f t="shared" ref="N70" si="242">+IFERROR(N69/M69-1,"nm")</f>
        <v>0.13930999429779622</v>
      </c>
    </row>
    <row r="71" spans="1:14" x14ac:dyDescent="0.3">
      <c r="A71" s="43" t="s">
        <v>132</v>
      </c>
      <c r="B71" s="44">
        <f t="shared" ref="B71:H71" si="243">+IFERROR(B69/B$21,"nm")</f>
        <v>9.8981077147016015E-3</v>
      </c>
      <c r="C71" s="44">
        <f t="shared" si="243"/>
        <v>8.6020048767271734E-3</v>
      </c>
      <c r="D71" s="44">
        <f t="shared" si="243"/>
        <v>1.0515247108307046E-2</v>
      </c>
      <c r="E71" s="44">
        <f t="shared" si="243"/>
        <v>7.808818579602827E-3</v>
      </c>
      <c r="F71" s="44">
        <f t="shared" si="243"/>
        <v>6.9802540560935733E-3</v>
      </c>
      <c r="G71" s="44">
        <f t="shared" si="243"/>
        <v>9.1135045567522777E-3</v>
      </c>
      <c r="H71" s="44">
        <f t="shared" si="243"/>
        <v>7.9166424122475119E-3</v>
      </c>
      <c r="I71" s="44">
        <f>+IFERROR(I69/I$21,"nm")</f>
        <v>7.3012586498120199E-3</v>
      </c>
      <c r="J71" s="44">
        <f t="shared" ref="J71:N71" si="244">+IFERROR(J69/J$21,"nm")</f>
        <v>9.7214927178624032E-3</v>
      </c>
      <c r="K71" s="44">
        <f t="shared" si="244"/>
        <v>1.028600502726653E-2</v>
      </c>
      <c r="L71" s="44">
        <f t="shared" si="244"/>
        <v>1.0695845728459183E-2</v>
      </c>
      <c r="M71" s="44">
        <f t="shared" si="244"/>
        <v>1.1090052121638163E-2</v>
      </c>
      <c r="N71" s="44">
        <f t="shared" si="244"/>
        <v>1.17589468903083E-2</v>
      </c>
    </row>
    <row r="72" spans="1:14" x14ac:dyDescent="0.3">
      <c r="A72" s="43" t="s">
        <v>139</v>
      </c>
      <c r="B72" s="44">
        <f t="shared" ref="B72:H72" si="245">+IFERROR(B69/B79,"nm")</f>
        <v>0.16873449131513649</v>
      </c>
      <c r="C72" s="44">
        <f t="shared" si="245"/>
        <v>0.13079299691040164</v>
      </c>
      <c r="D72" s="44">
        <f t="shared" si="245"/>
        <v>0.15252621544327932</v>
      </c>
      <c r="E72" s="44">
        <f t="shared" si="245"/>
        <v>0.13663133097762073</v>
      </c>
      <c r="F72" s="44">
        <f t="shared" si="245"/>
        <v>0.11948331539289558</v>
      </c>
      <c r="G72" s="44">
        <f t="shared" si="245"/>
        <v>0.14915254237288136</v>
      </c>
      <c r="H72" s="44">
        <f t="shared" si="245"/>
        <v>0.1384928716904277</v>
      </c>
      <c r="I72" s="44">
        <f>+IFERROR(I69/I79,"nm")</f>
        <v>0.14565217391304347</v>
      </c>
      <c r="J72" s="46">
        <f>Assumptions!B17</f>
        <v>0.15</v>
      </c>
      <c r="K72" s="46">
        <f>Assumptions!C17</f>
        <v>0.15</v>
      </c>
      <c r="L72" s="46">
        <f>Assumptions!D17</f>
        <v>0.15</v>
      </c>
      <c r="M72" s="46">
        <f>Assumptions!E17</f>
        <v>0.15</v>
      </c>
      <c r="N72" s="46">
        <f>Assumptions!F17</f>
        <v>0.15</v>
      </c>
    </row>
    <row r="73" spans="1:14" x14ac:dyDescent="0.3">
      <c r="A73" s="9" t="s">
        <v>133</v>
      </c>
      <c r="B73" s="9">
        <f>+Historicals!B139</f>
        <v>2442</v>
      </c>
      <c r="C73" s="9">
        <f>+Historicals!C139</f>
        <v>2789</v>
      </c>
      <c r="D73" s="9">
        <f>+Historicals!D139</f>
        <v>1507</v>
      </c>
      <c r="E73" s="9">
        <f>+Historicals!E139</f>
        <v>1587</v>
      </c>
      <c r="F73" s="9">
        <f>+Historicals!F139</f>
        <v>1995</v>
      </c>
      <c r="G73" s="9">
        <f>+Historicals!G139</f>
        <v>1541</v>
      </c>
      <c r="H73" s="9">
        <f>+Historicals!H139</f>
        <v>2435</v>
      </c>
      <c r="I73" s="9">
        <f>+Historicals!I139</f>
        <v>3293</v>
      </c>
      <c r="J73" s="9">
        <f>+J66-J69</f>
        <v>3825.9046949999997</v>
      </c>
      <c r="K73" s="9">
        <f t="shared" ref="K73:N73" si="246">+K66-K69</f>
        <v>4324.5804738000006</v>
      </c>
      <c r="L73" s="9">
        <f t="shared" si="246"/>
        <v>4894.1648040930004</v>
      </c>
      <c r="M73" s="9">
        <f t="shared" si="246"/>
        <v>5597.8015915937403</v>
      </c>
      <c r="N73" s="9">
        <f t="shared" si="246"/>
        <v>6377.6312993988586</v>
      </c>
    </row>
    <row r="74" spans="1:14" x14ac:dyDescent="0.3">
      <c r="A74" s="43" t="s">
        <v>128</v>
      </c>
      <c r="B74" s="44" t="str">
        <f t="shared" ref="B74" si="247">+IFERROR(B73/A73-1,"nm")</f>
        <v>nm</v>
      </c>
      <c r="C74" s="44">
        <f t="shared" ref="C74" si="248">+IFERROR(C73/B73-1,"nm")</f>
        <v>0.14209664209664208</v>
      </c>
      <c r="D74" s="44">
        <f t="shared" ref="D74" si="249">+IFERROR(D73/C73-1,"nm")</f>
        <v>-0.45966296163499465</v>
      </c>
      <c r="E74" s="44">
        <f t="shared" ref="E74" si="250">+IFERROR(E73/D73-1,"nm")</f>
        <v>5.3085600530855981E-2</v>
      </c>
      <c r="F74" s="44">
        <f t="shared" ref="F74" si="251">+IFERROR(F73/E73-1,"nm")</f>
        <v>0.25708884688090738</v>
      </c>
      <c r="G74" s="44">
        <f t="shared" ref="G74" si="252">+IFERROR(G73/F73-1,"nm")</f>
        <v>-0.22756892230576442</v>
      </c>
      <c r="H74" s="44">
        <f t="shared" ref="H74" si="253">+IFERROR(H73/G73-1,"nm")</f>
        <v>0.58014276443867629</v>
      </c>
      <c r="I74" s="44">
        <f>+IFERROR(I73/H73-1,"nm")</f>
        <v>0.3523613963039014</v>
      </c>
      <c r="J74" s="44">
        <f>+IFERROR(J73/I73-1,"nm")</f>
        <v>0.16182954600668076</v>
      </c>
      <c r="K74" s="44">
        <f t="shared" ref="K74" si="254">+IFERROR(K73/J73-1,"nm")</f>
        <v>0.1303419239511403</v>
      </c>
      <c r="L74" s="44">
        <f t="shared" ref="L74" si="255">+IFERROR(L73/K73-1,"nm")</f>
        <v>0.13170857467996355</v>
      </c>
      <c r="M74" s="44">
        <f t="shared" ref="M74" si="256">+IFERROR(M73/L73-1,"nm")</f>
        <v>0.14377055445952425</v>
      </c>
      <c r="N74" s="44">
        <f t="shared" ref="N74" si="257">+IFERROR(N73/M73-1,"nm")</f>
        <v>0.13930999429779622</v>
      </c>
    </row>
    <row r="75" spans="1:14" x14ac:dyDescent="0.3">
      <c r="A75" s="43" t="s">
        <v>130</v>
      </c>
      <c r="B75" s="44">
        <f t="shared" ref="B75:H75" si="258">+IFERROR(B73/B$52,"nm")</f>
        <v>0.20731810849817472</v>
      </c>
      <c r="C75" s="44">
        <f t="shared" si="258"/>
        <v>0.23466554480437526</v>
      </c>
      <c r="D75" s="44">
        <f t="shared" si="258"/>
        <v>0.1890840652446675</v>
      </c>
      <c r="E75" s="44">
        <f t="shared" si="258"/>
        <v>0.17171607877082881</v>
      </c>
      <c r="F75" s="44">
        <f t="shared" si="258"/>
        <v>0.20332246229107215</v>
      </c>
      <c r="G75" s="44">
        <f t="shared" si="258"/>
        <v>0.16486573232053064</v>
      </c>
      <c r="H75" s="44">
        <f t="shared" si="258"/>
        <v>0.21255237430167598</v>
      </c>
      <c r="I75" s="44">
        <f>+IFERROR(I73/I$52,"nm")</f>
        <v>0.26388332398429359</v>
      </c>
      <c r="J75" s="44">
        <f>+IFERROR(J73/J$52,"nm")</f>
        <v>0.27149999999999996</v>
      </c>
      <c r="K75" s="44">
        <f t="shared" ref="K75:N75" si="259">+IFERROR(K73/K$52,"nm")</f>
        <v>0.27150000000000002</v>
      </c>
      <c r="L75" s="44">
        <f t="shared" si="259"/>
        <v>0.27150000000000002</v>
      </c>
      <c r="M75" s="44">
        <f t="shared" si="259"/>
        <v>0.27150000000000002</v>
      </c>
      <c r="N75" s="44">
        <f t="shared" si="259"/>
        <v>0.27149999999999996</v>
      </c>
    </row>
    <row r="76" spans="1:14" x14ac:dyDescent="0.3">
      <c r="A76" s="9" t="s">
        <v>134</v>
      </c>
      <c r="B76" s="9">
        <f>+Historicals!B161</f>
        <v>288</v>
      </c>
      <c r="C76" s="9">
        <f>+Historicals!C161</f>
        <v>296</v>
      </c>
      <c r="D76" s="9">
        <f>+Historicals!D161</f>
        <v>232</v>
      </c>
      <c r="E76" s="9">
        <f>+Historicals!E161</f>
        <v>240</v>
      </c>
      <c r="F76" s="9">
        <f>+Historicals!F161</f>
        <v>233</v>
      </c>
      <c r="G76" s="9">
        <f>+Historicals!G161</f>
        <v>139</v>
      </c>
      <c r="H76" s="9">
        <f>+Historicals!H161</f>
        <v>153</v>
      </c>
      <c r="I76" s="9">
        <f>+Historicals!I161</f>
        <v>197</v>
      </c>
      <c r="J76" s="45">
        <f>+J52*J78</f>
        <v>239.55941000000001</v>
      </c>
      <c r="K76" s="45">
        <f t="shared" ref="K76:N76" si="260">+K52*K78</f>
        <v>270.78404440000008</v>
      </c>
      <c r="L76" s="45">
        <f t="shared" si="260"/>
        <v>306.44862493400001</v>
      </c>
      <c r="M76" s="45">
        <f t="shared" si="260"/>
        <v>350.50691365412001</v>
      </c>
      <c r="N76" s="45">
        <f t="shared" si="260"/>
        <v>399.33602979661367</v>
      </c>
    </row>
    <row r="77" spans="1:14" x14ac:dyDescent="0.3">
      <c r="A77" s="43" t="s">
        <v>128</v>
      </c>
      <c r="B77" s="44" t="str">
        <f t="shared" ref="B77" si="261">+IFERROR(B76/A76-1,"nm")</f>
        <v>nm</v>
      </c>
      <c r="C77" s="44">
        <f t="shared" ref="C77" si="262">+IFERROR(C76/B76-1,"nm")</f>
        <v>2.7777777777777679E-2</v>
      </c>
      <c r="D77" s="44">
        <f t="shared" ref="D77" si="263">+IFERROR(D76/C76-1,"nm")</f>
        <v>-0.21621621621621623</v>
      </c>
      <c r="E77" s="44">
        <f t="shared" ref="E77" si="264">+IFERROR(E76/D76-1,"nm")</f>
        <v>3.4482758620689724E-2</v>
      </c>
      <c r="F77" s="44">
        <f t="shared" ref="F77" si="265">+IFERROR(F76/E76-1,"nm")</f>
        <v>-2.9166666666666674E-2</v>
      </c>
      <c r="G77" s="44">
        <f t="shared" ref="G77" si="266">+IFERROR(G76/F76-1,"nm")</f>
        <v>-0.40343347639484983</v>
      </c>
      <c r="H77" s="44">
        <f t="shared" ref="H77" si="267">+IFERROR(H76/G76-1,"nm")</f>
        <v>0.10071942446043169</v>
      </c>
      <c r="I77" s="44">
        <f>+IFERROR(I76/H76-1,"nm")</f>
        <v>0.28758169934640532</v>
      </c>
      <c r="J77" s="44">
        <f>+IFERROR(J76/I76-1,"nm")</f>
        <v>0.21603761421319811</v>
      </c>
      <c r="K77" s="44">
        <f t="shared" ref="K77" si="268">+IFERROR(K76/J76-1,"nm")</f>
        <v>0.13034192395114053</v>
      </c>
      <c r="L77" s="44">
        <f t="shared" ref="L77" si="269">+IFERROR(L76/K76-1,"nm")</f>
        <v>0.13170857467996333</v>
      </c>
      <c r="M77" s="44">
        <f t="shared" ref="M77" si="270">+IFERROR(M76/L76-1,"nm")</f>
        <v>0.14377055445952447</v>
      </c>
      <c r="N77" s="44">
        <f t="shared" ref="N77" si="271">+IFERROR(N76/M76-1,"nm")</f>
        <v>0.13930999429779645</v>
      </c>
    </row>
    <row r="78" spans="1:14" x14ac:dyDescent="0.3">
      <c r="A78" s="43" t="s">
        <v>132</v>
      </c>
      <c r="B78" s="44">
        <f t="shared" ref="B78:H78" si="272">+IFERROR(B76/B$21,"nm")</f>
        <v>2.0960698689956331E-2</v>
      </c>
      <c r="C78" s="44">
        <f t="shared" si="272"/>
        <v>2.0048767271742075E-2</v>
      </c>
      <c r="D78" s="44">
        <f t="shared" si="272"/>
        <v>1.5247108307045216E-2</v>
      </c>
      <c r="E78" s="44">
        <f t="shared" si="272"/>
        <v>1.6156176371592057E-2</v>
      </c>
      <c r="F78" s="44">
        <f t="shared" si="272"/>
        <v>1.4652245000628852E-2</v>
      </c>
      <c r="G78" s="44">
        <f t="shared" si="272"/>
        <v>9.5967964650648992E-3</v>
      </c>
      <c r="H78" s="44">
        <f t="shared" si="272"/>
        <v>8.9062227137784496E-3</v>
      </c>
      <c r="I78" s="44">
        <f>+IFERROR(I76/I$52,"nm")</f>
        <v>1.5786521355877874E-2</v>
      </c>
      <c r="J78" s="46">
        <f>Assumptions!B19</f>
        <v>1.7000000000000001E-2</v>
      </c>
      <c r="K78" s="46">
        <f t="shared" ref="K78" si="273">+J78</f>
        <v>1.7000000000000001E-2</v>
      </c>
      <c r="L78" s="46">
        <f t="shared" ref="L78" si="274">+K78</f>
        <v>1.7000000000000001E-2</v>
      </c>
      <c r="M78" s="46">
        <f t="shared" ref="M78" si="275">+L78</f>
        <v>1.7000000000000001E-2</v>
      </c>
      <c r="N78" s="46">
        <f t="shared" ref="N78" si="276">+M78</f>
        <v>1.7000000000000001E-2</v>
      </c>
    </row>
    <row r="79" spans="1:14" x14ac:dyDescent="0.3">
      <c r="A79" s="9" t="s">
        <v>140</v>
      </c>
      <c r="B79" s="9">
        <f>+Historicals!B150</f>
        <v>806</v>
      </c>
      <c r="C79" s="9">
        <f>+Historicals!C150</f>
        <v>971</v>
      </c>
      <c r="D79" s="9">
        <f>+Historicals!D150</f>
        <v>1049</v>
      </c>
      <c r="E79" s="9">
        <f>+Historicals!E150</f>
        <v>849</v>
      </c>
      <c r="F79" s="9">
        <f>+Historicals!F150</f>
        <v>929</v>
      </c>
      <c r="G79" s="9">
        <f>+Historicals!G150</f>
        <v>885</v>
      </c>
      <c r="H79" s="9">
        <f>+Historicals!H150</f>
        <v>982</v>
      </c>
      <c r="I79" s="9">
        <f>+Historicals!I150</f>
        <v>920</v>
      </c>
      <c r="J79" s="45">
        <f>+J52*J81</f>
        <v>1268.2556999999999</v>
      </c>
      <c r="K79" s="45">
        <f t="shared" ref="K79:N79" si="277">+K52*K81</f>
        <v>1433.5625880000002</v>
      </c>
      <c r="L79" s="45">
        <f t="shared" si="277"/>
        <v>1622.3750731800001</v>
      </c>
      <c r="M79" s="45">
        <f t="shared" si="277"/>
        <v>1855.6248369923999</v>
      </c>
      <c r="N79" s="45">
        <f t="shared" si="277"/>
        <v>2114.1319224526605</v>
      </c>
    </row>
    <row r="80" spans="1:14" x14ac:dyDescent="0.3">
      <c r="A80" s="43" t="s">
        <v>128</v>
      </c>
      <c r="B80" s="44" t="str">
        <f t="shared" ref="B80" si="278">+IFERROR(B79/A79-1,"nm")</f>
        <v>nm</v>
      </c>
      <c r="C80" s="44">
        <f t="shared" ref="C80" si="279">+IFERROR(C79/B79-1,"nm")</f>
        <v>0.20471464019851116</v>
      </c>
      <c r="D80" s="44">
        <f t="shared" ref="D80" si="280">+IFERROR(D79/C79-1,"nm")</f>
        <v>8.0329557157569509E-2</v>
      </c>
      <c r="E80" s="44">
        <f t="shared" ref="E80" si="281">+IFERROR(E79/D79-1,"nm")</f>
        <v>-0.19065776930409917</v>
      </c>
      <c r="F80" s="44">
        <f t="shared" ref="F80" si="282">+IFERROR(F79/E79-1,"nm")</f>
        <v>9.4228504122497059E-2</v>
      </c>
      <c r="G80" s="44">
        <f t="shared" ref="G80" si="283">+IFERROR(G79/F79-1,"nm")</f>
        <v>-4.7362755651237931E-2</v>
      </c>
      <c r="H80" s="44">
        <f t="shared" ref="H80" si="284">+IFERROR(H79/G79-1,"nm")</f>
        <v>0.1096045197740112</v>
      </c>
      <c r="I80" s="44">
        <f>+IFERROR(I79/H79-1,"nm")</f>
        <v>-6.313645621181263E-2</v>
      </c>
      <c r="J80" s="44">
        <f>+J81+J82</f>
        <v>0.09</v>
      </c>
      <c r="K80" s="44">
        <f t="shared" ref="K80:N80" si="285">+K81+K82</f>
        <v>0.09</v>
      </c>
      <c r="L80" s="44">
        <f t="shared" si="285"/>
        <v>0.09</v>
      </c>
      <c r="M80" s="44">
        <f t="shared" si="285"/>
        <v>0.09</v>
      </c>
      <c r="N80" s="44">
        <f t="shared" si="285"/>
        <v>0.09</v>
      </c>
    </row>
    <row r="81" spans="1:15" x14ac:dyDescent="0.3">
      <c r="A81" s="43" t="s">
        <v>132</v>
      </c>
      <c r="B81" s="44">
        <f t="shared" ref="B81:H81" si="286">+IFERROR(B79/B$52,"nm")</f>
        <v>6.842686136344342E-2</v>
      </c>
      <c r="C81" s="44">
        <f t="shared" si="286"/>
        <v>8.1699621371476655E-2</v>
      </c>
      <c r="D81" s="44">
        <f t="shared" si="286"/>
        <v>0.1316185696361355</v>
      </c>
      <c r="E81" s="44">
        <f t="shared" si="286"/>
        <v>9.1863233066435832E-2</v>
      </c>
      <c r="F81" s="44">
        <f t="shared" si="286"/>
        <v>9.4679983693436609E-2</v>
      </c>
      <c r="G81" s="44">
        <f t="shared" si="286"/>
        <v>9.4682785920616241E-2</v>
      </c>
      <c r="H81" s="44">
        <f t="shared" si="286"/>
        <v>8.5719273743016758E-2</v>
      </c>
      <c r="I81" s="44">
        <f>+IFERROR(I79/I$52,"nm")</f>
        <v>7.37238560782114E-2</v>
      </c>
      <c r="J81" s="46">
        <f>Assumptions!B18</f>
        <v>0.09</v>
      </c>
      <c r="K81" s="46">
        <f>Assumptions!C18</f>
        <v>0.09</v>
      </c>
      <c r="L81" s="46">
        <f>Assumptions!D18</f>
        <v>0.09</v>
      </c>
      <c r="M81" s="46">
        <f>Assumptions!E18</f>
        <v>0.09</v>
      </c>
      <c r="N81" s="46">
        <f>Assumptions!F18</f>
        <v>0.09</v>
      </c>
      <c r="O81" s="46"/>
    </row>
    <row r="82" spans="1:15" x14ac:dyDescent="0.3">
      <c r="A82" s="41" t="str">
        <f>Historicals!A119</f>
        <v>Greater China</v>
      </c>
      <c r="B82" s="41"/>
      <c r="C82" s="41"/>
      <c r="D82" s="41"/>
      <c r="E82" s="41"/>
      <c r="F82" s="41"/>
      <c r="G82" s="41"/>
      <c r="H82" s="41"/>
      <c r="I82" s="41"/>
      <c r="J82" s="37"/>
      <c r="K82" s="37"/>
      <c r="L82" s="37"/>
      <c r="M82" s="37"/>
      <c r="N82" s="37"/>
    </row>
    <row r="83" spans="1:15" x14ac:dyDescent="0.3">
      <c r="A83" s="9" t="s">
        <v>135</v>
      </c>
      <c r="B83" s="9">
        <f t="shared" ref="B83:I83" si="287">+SUM(B85+B89+B93)</f>
        <v>3067</v>
      </c>
      <c r="C83" s="9">
        <f t="shared" si="287"/>
        <v>3785</v>
      </c>
      <c r="D83" s="9">
        <f t="shared" si="287"/>
        <v>4237</v>
      </c>
      <c r="E83" s="9">
        <f t="shared" si="287"/>
        <v>5134</v>
      </c>
      <c r="F83" s="9">
        <f t="shared" si="287"/>
        <v>6208</v>
      </c>
      <c r="G83" s="9">
        <f t="shared" si="287"/>
        <v>6679</v>
      </c>
      <c r="H83" s="9">
        <f t="shared" si="287"/>
        <v>8290</v>
      </c>
      <c r="I83" s="9">
        <f t="shared" si="287"/>
        <v>7547</v>
      </c>
      <c r="J83" s="9">
        <f>+SUM(J85+J89+J93)</f>
        <v>8429.4000000000015</v>
      </c>
      <c r="K83" s="9">
        <f t="shared" ref="K83:N83" si="288">+SUM(K85+K89+K93)</f>
        <v>9541.6112000000012</v>
      </c>
      <c r="L83" s="9">
        <f t="shared" si="288"/>
        <v>10943.917815000001</v>
      </c>
      <c r="M83" s="9">
        <f t="shared" si="288"/>
        <v>12716.725623275001</v>
      </c>
      <c r="N83" s="9">
        <f t="shared" si="288"/>
        <v>14967.745613905499</v>
      </c>
    </row>
    <row r="84" spans="1:15" x14ac:dyDescent="0.3">
      <c r="A84" s="42" t="s">
        <v>128</v>
      </c>
      <c r="B84" s="44" t="str">
        <f t="shared" ref="B84" si="289">+IFERROR(B83/A83-1,"nm")</f>
        <v>nm</v>
      </c>
      <c r="C84" s="44">
        <f t="shared" ref="C84" si="290">+IFERROR(C83/B83-1,"nm")</f>
        <v>0.23410498858819695</v>
      </c>
      <c r="D84" s="44">
        <f t="shared" ref="D84" si="291">+IFERROR(D83/C83-1,"nm")</f>
        <v>0.11941875825627468</v>
      </c>
      <c r="E84" s="44">
        <f t="shared" ref="E84" si="292">+IFERROR(E83/D83-1,"nm")</f>
        <v>0.21170639603493036</v>
      </c>
      <c r="F84" s="44">
        <f t="shared" ref="F84" si="293">+IFERROR(F83/E83-1,"nm")</f>
        <v>0.20919361121932223</v>
      </c>
      <c r="G84" s="44">
        <f t="shared" ref="G84" si="294">+IFERROR(G83/F83-1,"nm")</f>
        <v>7.5869845360824639E-2</v>
      </c>
      <c r="H84" s="44">
        <f t="shared" ref="H84" si="295">+IFERROR(H83/G83-1,"nm")</f>
        <v>0.24120377301991325</v>
      </c>
      <c r="I84" s="44">
        <f>+IFERROR(I83/H83-1,"nm")</f>
        <v>-8.9626055488540413E-2</v>
      </c>
      <c r="J84" s="44">
        <f>+IFERROR(J83/I83-1,"nm")</f>
        <v>0.11692063071419123</v>
      </c>
      <c r="K84" s="44">
        <f t="shared" ref="K84" si="296">+IFERROR(K83/J83-1,"nm")</f>
        <v>0.13194429022231713</v>
      </c>
      <c r="L84" s="44">
        <f t="shared" ref="L84" si="297">+IFERROR(L83/K83-1,"nm")</f>
        <v>0.14696748647649782</v>
      </c>
      <c r="M84" s="44">
        <f t="shared" ref="M84" si="298">+IFERROR(M83/L83-1,"nm")</f>
        <v>0.16199023404992552</v>
      </c>
      <c r="N84" s="44">
        <f t="shared" ref="N84" si="299">+IFERROR(N83/M83-1,"nm")</f>
        <v>0.17701254688632528</v>
      </c>
    </row>
    <row r="85" spans="1:15" x14ac:dyDescent="0.3">
      <c r="A85" s="48" t="s">
        <v>112</v>
      </c>
      <c r="B85" s="9">
        <f>+Historicals!B120</f>
        <v>2016</v>
      </c>
      <c r="C85" s="9">
        <f>+Historicals!C120</f>
        <v>2599</v>
      </c>
      <c r="D85" s="9">
        <f>+Historicals!D120</f>
        <v>2920</v>
      </c>
      <c r="E85" s="9">
        <f>+Historicals!E120</f>
        <v>3496</v>
      </c>
      <c r="F85" s="9">
        <f>+Historicals!F120</f>
        <v>4262</v>
      </c>
      <c r="G85" s="9">
        <f>+Historicals!G120</f>
        <v>4635</v>
      </c>
      <c r="H85" s="9">
        <f>+Historicals!H120</f>
        <v>5748</v>
      </c>
      <c r="I85" s="9">
        <f>+Historicals!I120</f>
        <v>5416</v>
      </c>
      <c r="J85" s="9">
        <f>+I85*(1+J86)</f>
        <v>6065.920000000001</v>
      </c>
      <c r="K85" s="9">
        <f t="shared" ref="K85" si="300">+J85*(1+K86)</f>
        <v>6884.8192000000008</v>
      </c>
      <c r="L85" s="9">
        <f t="shared" ref="L85" si="301">+K85*(1+L86)</f>
        <v>7917.5420800000002</v>
      </c>
      <c r="M85" s="9">
        <f t="shared" ref="M85" si="302">+L85*(1+M86)</f>
        <v>9223.9365232</v>
      </c>
      <c r="N85" s="9">
        <f t="shared" ref="N85" si="303">+M85*(1+N86)</f>
        <v>10884.245097375999</v>
      </c>
    </row>
    <row r="86" spans="1:15" x14ac:dyDescent="0.3">
      <c r="A86" s="42" t="s">
        <v>128</v>
      </c>
      <c r="B86" s="44" t="str">
        <f t="shared" ref="B86" si="304">+IFERROR(B85/A85-1,"nm")</f>
        <v>nm</v>
      </c>
      <c r="C86" s="44">
        <f t="shared" ref="C86" si="305">+IFERROR(C85/B85-1,"nm")</f>
        <v>0.28918650793650791</v>
      </c>
      <c r="D86" s="44">
        <f t="shared" ref="D86" si="306">+IFERROR(D85/C85-1,"nm")</f>
        <v>0.12350904193920731</v>
      </c>
      <c r="E86" s="44">
        <f t="shared" ref="E86" si="307">+IFERROR(E85/D85-1,"nm")</f>
        <v>0.19726027397260282</v>
      </c>
      <c r="F86" s="44">
        <f t="shared" ref="F86" si="308">+IFERROR(F85/E85-1,"nm")</f>
        <v>0.21910755148741412</v>
      </c>
      <c r="G86" s="44">
        <f t="shared" ref="G86" si="309">+IFERROR(G85/F85-1,"nm")</f>
        <v>8.7517597372125833E-2</v>
      </c>
      <c r="H86" s="44">
        <f t="shared" ref="H86" si="310">+IFERROR(H85/G85-1,"nm")</f>
        <v>0.24012944983818763</v>
      </c>
      <c r="I86" s="44">
        <f>+IFERROR(I85/H85-1,"nm")</f>
        <v>-5.7759220598469052E-2</v>
      </c>
      <c r="J86" s="44">
        <f>+J87+J88</f>
        <v>0.12</v>
      </c>
      <c r="K86" s="44">
        <f t="shared" ref="K86:N86" si="311">+K87+K88</f>
        <v>0.13500000000000001</v>
      </c>
      <c r="L86" s="44">
        <f t="shared" si="311"/>
        <v>0.15</v>
      </c>
      <c r="M86" s="44">
        <f t="shared" si="311"/>
        <v>0.16500000000000001</v>
      </c>
      <c r="N86" s="44">
        <f t="shared" si="311"/>
        <v>0.18</v>
      </c>
    </row>
    <row r="87" spans="1:15" x14ac:dyDescent="0.3">
      <c r="A87" s="42" t="s">
        <v>136</v>
      </c>
      <c r="B87" s="44">
        <f>Historicals!B192</f>
        <v>0.28000000000000003</v>
      </c>
      <c r="C87" s="44">
        <f>Historicals!C192</f>
        <v>0.33</v>
      </c>
      <c r="D87" s="44">
        <f>Historicals!D192</f>
        <v>0.18</v>
      </c>
      <c r="E87" s="44">
        <f>Historicals!E192</f>
        <v>0.16</v>
      </c>
      <c r="F87" s="44">
        <f>Historicals!F192</f>
        <v>0.25</v>
      </c>
      <c r="G87" s="44">
        <f>Historicals!G192</f>
        <v>0.12</v>
      </c>
      <c r="H87" s="44">
        <f>Historicals!H192</f>
        <v>0.19</v>
      </c>
      <c r="I87" s="44">
        <f>Historicals!I192</f>
        <v>-0.1</v>
      </c>
      <c r="J87" s="46">
        <f>Assumptions!B21</f>
        <v>0.12</v>
      </c>
      <c r="K87" s="46">
        <f>Assumptions!C21</f>
        <v>0.13500000000000001</v>
      </c>
      <c r="L87" s="46">
        <f>Assumptions!D21</f>
        <v>0.15</v>
      </c>
      <c r="M87" s="46">
        <f>Assumptions!E21</f>
        <v>0.16500000000000001</v>
      </c>
      <c r="N87" s="46">
        <f>Assumptions!F21</f>
        <v>0.18</v>
      </c>
    </row>
    <row r="88" spans="1:15" x14ac:dyDescent="0.3">
      <c r="A88" s="42" t="s">
        <v>137</v>
      </c>
      <c r="B88" s="44" t="str">
        <f>+IFERROR(B86-B87,"nm")</f>
        <v>nm</v>
      </c>
      <c r="C88" s="44">
        <f t="shared" ref="C88:H88" si="312">+IFERROR(C86-C87,"nm")</f>
        <v>-4.0813492063492107E-2</v>
      </c>
      <c r="D88" s="44">
        <f t="shared" si="312"/>
        <v>-5.6490958060792684E-2</v>
      </c>
      <c r="E88" s="44">
        <f t="shared" si="312"/>
        <v>3.7260273972602814E-2</v>
      </c>
      <c r="F88" s="44">
        <f t="shared" si="312"/>
        <v>-3.0892448512585879E-2</v>
      </c>
      <c r="G88" s="44">
        <f t="shared" si="312"/>
        <v>-3.2482402627874163E-2</v>
      </c>
      <c r="H88" s="44">
        <f t="shared" si="312"/>
        <v>5.0129449838187623E-2</v>
      </c>
      <c r="I88" s="44">
        <f>+IFERROR(I86-I87,"nm")</f>
        <v>4.2240779401530953E-2</v>
      </c>
      <c r="J88" s="46">
        <v>0</v>
      </c>
      <c r="K88" s="46">
        <f t="shared" ref="K88" si="313">+J88</f>
        <v>0</v>
      </c>
      <c r="L88" s="46">
        <f t="shared" ref="L88" si="314">+K88</f>
        <v>0</v>
      </c>
      <c r="M88" s="46">
        <f t="shared" ref="M88" si="315">+L88</f>
        <v>0</v>
      </c>
      <c r="N88" s="46">
        <f t="shared" ref="N88" si="316">+M88</f>
        <v>0</v>
      </c>
    </row>
    <row r="89" spans="1:15" x14ac:dyDescent="0.3">
      <c r="A89" s="48" t="s">
        <v>113</v>
      </c>
      <c r="B89" s="9">
        <f>Historicals!B121</f>
        <v>925</v>
      </c>
      <c r="C89" s="9">
        <f>Historicals!C121</f>
        <v>1055</v>
      </c>
      <c r="D89" s="9">
        <f>Historicals!D121</f>
        <v>1188</v>
      </c>
      <c r="E89" s="9">
        <f>Historicals!E121</f>
        <v>1508</v>
      </c>
      <c r="F89" s="9">
        <f>Historicals!F121</f>
        <v>1808</v>
      </c>
      <c r="G89" s="9">
        <f>Historicals!G121</f>
        <v>1896</v>
      </c>
      <c r="H89" s="9">
        <f>Historicals!H121</f>
        <v>2347</v>
      </c>
      <c r="I89" s="9">
        <f>Historicals!I121</f>
        <v>1938</v>
      </c>
      <c r="J89" s="9">
        <f>+I89*(1+J90)</f>
        <v>2151.1800000000003</v>
      </c>
      <c r="K89" s="9">
        <f t="shared" ref="K89" si="317">+J89*(1+K90)</f>
        <v>2420.0775000000003</v>
      </c>
      <c r="L89" s="9">
        <f t="shared" ref="L89" si="318">+K89*(1+L90)</f>
        <v>2758.8883500000006</v>
      </c>
      <c r="M89" s="9">
        <f t="shared" ref="M89" si="319">+L89*(1+M90)</f>
        <v>3186.516044250001</v>
      </c>
      <c r="N89" s="9">
        <f t="shared" ref="N89" si="320">+M89*(1+N90)</f>
        <v>3728.2237717725011</v>
      </c>
    </row>
    <row r="90" spans="1:15" x14ac:dyDescent="0.3">
      <c r="A90" s="42" t="s">
        <v>128</v>
      </c>
      <c r="B90" s="44" t="str">
        <f t="shared" ref="B90" si="321">+IFERROR(B89/A89-1,"nm")</f>
        <v>nm</v>
      </c>
      <c r="C90" s="44">
        <f t="shared" ref="C90" si="322">+IFERROR(C89/B89-1,"nm")</f>
        <v>0.14054054054054044</v>
      </c>
      <c r="D90" s="44">
        <f t="shared" ref="D90" si="323">+IFERROR(D89/C89-1,"nm")</f>
        <v>0.12606635071090055</v>
      </c>
      <c r="E90" s="44">
        <f t="shared" ref="E90" si="324">+IFERROR(E89/D89-1,"nm")</f>
        <v>0.26936026936026947</v>
      </c>
      <c r="F90" s="44">
        <f t="shared" ref="F90" si="325">+IFERROR(F89/E89-1,"nm")</f>
        <v>0.19893899204244025</v>
      </c>
      <c r="G90" s="44">
        <f t="shared" ref="G90" si="326">+IFERROR(G89/F89-1,"nm")</f>
        <v>4.8672566371681381E-2</v>
      </c>
      <c r="H90" s="44">
        <f t="shared" ref="H90" si="327">+IFERROR(H89/G89-1,"nm")</f>
        <v>0.2378691983122363</v>
      </c>
      <c r="I90" s="44">
        <f>+IFERROR(I89/H89-1,"nm")</f>
        <v>-0.17426501917341286</v>
      </c>
      <c r="J90" s="44">
        <f>+J91+J92</f>
        <v>0.11</v>
      </c>
      <c r="K90" s="44">
        <f t="shared" ref="K90:N90" si="328">+K91+K92</f>
        <v>0.125</v>
      </c>
      <c r="L90" s="44">
        <f t="shared" si="328"/>
        <v>0.14000000000000001</v>
      </c>
      <c r="M90" s="44">
        <f t="shared" si="328"/>
        <v>0.155</v>
      </c>
      <c r="N90" s="44">
        <f t="shared" si="328"/>
        <v>0.17</v>
      </c>
    </row>
    <row r="91" spans="1:15" x14ac:dyDescent="0.3">
      <c r="A91" s="42" t="s">
        <v>136</v>
      </c>
      <c r="B91" s="44">
        <f>Historicals!B193</f>
        <v>7.0000000000000007E-2</v>
      </c>
      <c r="C91" s="44">
        <f>Historicals!C193</f>
        <v>0.17</v>
      </c>
      <c r="D91" s="44">
        <f>Historicals!D193</f>
        <v>0.18</v>
      </c>
      <c r="E91" s="44">
        <f>Historicals!E193</f>
        <v>0.23</v>
      </c>
      <c r="F91" s="44">
        <f>Historicals!F193</f>
        <v>0.23</v>
      </c>
      <c r="G91" s="44">
        <f>Historicals!G193</f>
        <v>0.08</v>
      </c>
      <c r="H91" s="44">
        <f>Historicals!H193</f>
        <v>0.19</v>
      </c>
      <c r="I91" s="44">
        <f>Historicals!I193</f>
        <v>-0.21</v>
      </c>
      <c r="J91" s="46">
        <f>Assumptions!B22</f>
        <v>0.11</v>
      </c>
      <c r="K91" s="46">
        <f>Assumptions!C22</f>
        <v>0.125</v>
      </c>
      <c r="L91" s="46">
        <f>Assumptions!D22</f>
        <v>0.14000000000000001</v>
      </c>
      <c r="M91" s="46">
        <f>Assumptions!E22</f>
        <v>0.155</v>
      </c>
      <c r="N91" s="46">
        <f>Assumptions!F22</f>
        <v>0.17</v>
      </c>
    </row>
    <row r="92" spans="1:15" x14ac:dyDescent="0.3">
      <c r="A92" s="42" t="s">
        <v>137</v>
      </c>
      <c r="B92" s="44" t="str">
        <f t="shared" ref="B92:H92" si="329">+IFERROR(B90-B91,"nm")</f>
        <v>nm</v>
      </c>
      <c r="C92" s="44">
        <f t="shared" si="329"/>
        <v>-2.9459459459459575E-2</v>
      </c>
      <c r="D92" s="44">
        <f t="shared" si="329"/>
        <v>-5.3933649289099439E-2</v>
      </c>
      <c r="E92" s="44">
        <f t="shared" si="329"/>
        <v>3.9360269360269456E-2</v>
      </c>
      <c r="F92" s="44">
        <f t="shared" si="329"/>
        <v>-3.1061007957559755E-2</v>
      </c>
      <c r="G92" s="44">
        <f t="shared" si="329"/>
        <v>-3.1327433628318621E-2</v>
      </c>
      <c r="H92" s="44">
        <f t="shared" si="329"/>
        <v>4.7869198312236294E-2</v>
      </c>
      <c r="I92" s="44">
        <f>+IFERROR(I90-I91,"nm")</f>
        <v>3.5734980826587132E-2</v>
      </c>
      <c r="J92" s="46">
        <v>0</v>
      </c>
      <c r="K92" s="46">
        <f t="shared" ref="K92" si="330">+J92</f>
        <v>0</v>
      </c>
      <c r="L92" s="46">
        <f t="shared" ref="L92" si="331">+K92</f>
        <v>0</v>
      </c>
      <c r="M92" s="46">
        <f t="shared" ref="M92" si="332">+L92</f>
        <v>0</v>
      </c>
      <c r="N92" s="46">
        <f t="shared" ref="N92" si="333">+M92</f>
        <v>0</v>
      </c>
    </row>
    <row r="93" spans="1:15" x14ac:dyDescent="0.3">
      <c r="A93" s="48" t="s">
        <v>114</v>
      </c>
      <c r="B93" s="9">
        <f>Historicals!B122</f>
        <v>126</v>
      </c>
      <c r="C93" s="9">
        <f>Historicals!C122</f>
        <v>131</v>
      </c>
      <c r="D93" s="9">
        <f>Historicals!D122</f>
        <v>129</v>
      </c>
      <c r="E93" s="9">
        <f>Historicals!E122</f>
        <v>130</v>
      </c>
      <c r="F93" s="9">
        <f>Historicals!F122</f>
        <v>138</v>
      </c>
      <c r="G93" s="9">
        <f>Historicals!G122</f>
        <v>148</v>
      </c>
      <c r="H93" s="9">
        <f>Historicals!H122</f>
        <v>195</v>
      </c>
      <c r="I93" s="9">
        <f>Historicals!I122</f>
        <v>193</v>
      </c>
      <c r="J93" s="9">
        <f>+I93*(1+J94)</f>
        <v>212.3</v>
      </c>
      <c r="K93" s="9">
        <f t="shared" ref="K93" si="334">+J93*(1+K94)</f>
        <v>236.71450000000002</v>
      </c>
      <c r="L93" s="9">
        <f t="shared" ref="L93" si="335">+K93*(1+L94)</f>
        <v>267.48738500000002</v>
      </c>
      <c r="M93" s="9">
        <f t="shared" ref="M93" si="336">+L93*(1+M94)</f>
        <v>306.27305582500003</v>
      </c>
      <c r="N93" s="9">
        <f t="shared" ref="N93" si="337">+M93*(1+N94)</f>
        <v>355.27674475700002</v>
      </c>
    </row>
    <row r="94" spans="1:15" x14ac:dyDescent="0.3">
      <c r="A94" s="42" t="s">
        <v>128</v>
      </c>
      <c r="B94" s="44" t="str">
        <f t="shared" ref="B94" si="338">+IFERROR(B93/A93-1,"nm")</f>
        <v>nm</v>
      </c>
      <c r="C94" s="44">
        <f t="shared" ref="C94" si="339">+IFERROR(C93/B93-1,"nm")</f>
        <v>3.9682539682539764E-2</v>
      </c>
      <c r="D94" s="44">
        <f t="shared" ref="D94" si="340">+IFERROR(D93/C93-1,"nm")</f>
        <v>-1.5267175572519109E-2</v>
      </c>
      <c r="E94" s="44">
        <f t="shared" ref="E94" si="341">+IFERROR(E93/D93-1,"nm")</f>
        <v>7.7519379844961378E-3</v>
      </c>
      <c r="F94" s="44">
        <f t="shared" ref="F94" si="342">+IFERROR(F93/E93-1,"nm")</f>
        <v>6.1538461538461542E-2</v>
      </c>
      <c r="G94" s="44">
        <f t="shared" ref="G94" si="343">+IFERROR(G93/F93-1,"nm")</f>
        <v>7.2463768115942129E-2</v>
      </c>
      <c r="H94" s="44">
        <f t="shared" ref="H94" si="344">+IFERROR(H93/G93-1,"nm")</f>
        <v>0.31756756756756754</v>
      </c>
      <c r="I94" s="44">
        <f>+IFERROR(I93/H93-1,"nm")</f>
        <v>-1.025641025641022E-2</v>
      </c>
      <c r="J94" s="44">
        <f>+J95+J96</f>
        <v>0.1</v>
      </c>
      <c r="K94" s="44">
        <f t="shared" ref="K94:N94" si="345">+K95+K96</f>
        <v>0.115</v>
      </c>
      <c r="L94" s="44">
        <f t="shared" si="345"/>
        <v>0.13</v>
      </c>
      <c r="M94" s="44">
        <f t="shared" si="345"/>
        <v>0.14499999999999999</v>
      </c>
      <c r="N94" s="44">
        <f t="shared" si="345"/>
        <v>0.16</v>
      </c>
    </row>
    <row r="95" spans="1:15" x14ac:dyDescent="0.3">
      <c r="A95" s="42" t="s">
        <v>136</v>
      </c>
      <c r="B95" s="44">
        <f>Historicals!B194</f>
        <v>0.01</v>
      </c>
      <c r="C95" s="44">
        <f>Historicals!C194</f>
        <v>7.0000000000000007E-2</v>
      </c>
      <c r="D95" s="44">
        <f>Historicals!D194</f>
        <v>0.03</v>
      </c>
      <c r="E95" s="44">
        <f>Historicals!E194</f>
        <v>-0.01</v>
      </c>
      <c r="F95" s="44">
        <f>Historicals!F194</f>
        <v>0.08</v>
      </c>
      <c r="G95" s="44">
        <f>Historicals!G194</f>
        <v>0.11</v>
      </c>
      <c r="H95" s="44">
        <f>Historicals!H194</f>
        <v>0.26</v>
      </c>
      <c r="I95" s="44">
        <f>Historicals!I194</f>
        <v>-0.06</v>
      </c>
      <c r="J95" s="46">
        <f>Assumptions!B23</f>
        <v>0.1</v>
      </c>
      <c r="K95" s="46">
        <f>Assumptions!C23</f>
        <v>0.115</v>
      </c>
      <c r="L95" s="46">
        <f>Assumptions!D23</f>
        <v>0.13</v>
      </c>
      <c r="M95" s="46">
        <f>Assumptions!E23</f>
        <v>0.14499999999999999</v>
      </c>
      <c r="N95" s="46">
        <f>Assumptions!F23</f>
        <v>0.16</v>
      </c>
    </row>
    <row r="96" spans="1:15" x14ac:dyDescent="0.3">
      <c r="A96" s="42" t="s">
        <v>137</v>
      </c>
      <c r="B96" s="44" t="str">
        <f t="shared" ref="B96:H96" si="346">+IFERROR(B94-B95,"nm")</f>
        <v>nm</v>
      </c>
      <c r="C96" s="44">
        <f t="shared" si="346"/>
        <v>-3.0317460317460243E-2</v>
      </c>
      <c r="D96" s="44">
        <f t="shared" si="346"/>
        <v>-4.5267175572519108E-2</v>
      </c>
      <c r="E96" s="44">
        <f t="shared" si="346"/>
        <v>1.775193798449614E-2</v>
      </c>
      <c r="F96" s="44">
        <f t="shared" si="346"/>
        <v>-1.846153846153846E-2</v>
      </c>
      <c r="G96" s="44">
        <f t="shared" si="346"/>
        <v>-3.7536231884057872E-2</v>
      </c>
      <c r="H96" s="44">
        <f t="shared" si="346"/>
        <v>5.7567567567567535E-2</v>
      </c>
      <c r="I96" s="44">
        <f>+IFERROR(I94-I95,"nm")</f>
        <v>4.9743589743589778E-2</v>
      </c>
      <c r="J96" s="46">
        <v>0</v>
      </c>
      <c r="K96" s="46">
        <f t="shared" ref="K96" si="347">+J96</f>
        <v>0</v>
      </c>
      <c r="L96" s="46">
        <f t="shared" ref="L96" si="348">+K96</f>
        <v>0</v>
      </c>
      <c r="M96" s="46">
        <f t="shared" ref="M96" si="349">+L96</f>
        <v>0</v>
      </c>
      <c r="N96" s="46">
        <f t="shared" ref="N96" si="350">+M96</f>
        <v>0</v>
      </c>
    </row>
    <row r="97" spans="1:16" x14ac:dyDescent="0.3">
      <c r="A97" s="9" t="s">
        <v>129</v>
      </c>
      <c r="B97" s="45">
        <f>+B104+B100</f>
        <v>1039</v>
      </c>
      <c r="C97" s="45">
        <f t="shared" ref="C97:H97" si="351">+C104+C100</f>
        <v>1420</v>
      </c>
      <c r="D97" s="45">
        <f t="shared" si="351"/>
        <v>1561</v>
      </c>
      <c r="E97" s="45">
        <f t="shared" si="351"/>
        <v>1863</v>
      </c>
      <c r="F97" s="45">
        <f t="shared" si="351"/>
        <v>2426</v>
      </c>
      <c r="G97" s="45">
        <f t="shared" si="351"/>
        <v>2534</v>
      </c>
      <c r="H97" s="45">
        <f t="shared" si="351"/>
        <v>3289</v>
      </c>
      <c r="I97" s="45">
        <f>+I104+I100</f>
        <v>2406</v>
      </c>
      <c r="J97" s="45">
        <f>+J83*J99</f>
        <v>2865.9960000000005</v>
      </c>
      <c r="K97" s="45">
        <f t="shared" ref="K97:N97" si="352">+K83*K99</f>
        <v>3339.5639200000001</v>
      </c>
      <c r="L97" s="45">
        <f t="shared" si="352"/>
        <v>3939.8104134</v>
      </c>
      <c r="M97" s="45">
        <f t="shared" si="352"/>
        <v>4705.1884806117505</v>
      </c>
      <c r="N97" s="45">
        <f t="shared" si="352"/>
        <v>5687.7433332840901</v>
      </c>
    </row>
    <row r="98" spans="1:16" x14ac:dyDescent="0.3">
      <c r="A98" s="43" t="s">
        <v>128</v>
      </c>
      <c r="B98" s="44" t="str">
        <f t="shared" ref="B98" si="353">+IFERROR(B97/A97-1,"nm")</f>
        <v>nm</v>
      </c>
      <c r="C98" s="44">
        <f t="shared" ref="C98" si="354">+IFERROR(C97/B97-1,"nm")</f>
        <v>0.36669874879692022</v>
      </c>
      <c r="D98" s="44">
        <f t="shared" ref="D98" si="355">+IFERROR(D97/C97-1,"nm")</f>
        <v>9.9295774647887303E-2</v>
      </c>
      <c r="E98" s="44">
        <f t="shared" ref="E98" si="356">+IFERROR(E97/D97-1,"nm")</f>
        <v>0.19346572709801402</v>
      </c>
      <c r="F98" s="44">
        <f t="shared" ref="F98" si="357">+IFERROR(F97/E97-1,"nm")</f>
        <v>0.3022007514761138</v>
      </c>
      <c r="G98" s="44">
        <f t="shared" ref="G98" si="358">+IFERROR(G97/F97-1,"nm")</f>
        <v>4.4517724649629109E-2</v>
      </c>
      <c r="H98" s="44">
        <f t="shared" ref="H98" si="359">+IFERROR(H97/G97-1,"nm")</f>
        <v>0.29794790844514596</v>
      </c>
      <c r="I98" s="44">
        <f>+IFERROR(I97/H97-1,"nm")</f>
        <v>-0.26847065977500761</v>
      </c>
      <c r="J98" s="44">
        <f>+IFERROR(J97/I97-1,"nm")</f>
        <v>0.19118703241895285</v>
      </c>
      <c r="K98" s="44">
        <f t="shared" ref="K98" si="360">+IFERROR(K97/J97-1,"nm")</f>
        <v>0.16523676934650267</v>
      </c>
      <c r="L98" s="44">
        <f>+IFERROR(L97/K97-1,"nm")</f>
        <v>0.17973798609011205</v>
      </c>
      <c r="M98" s="44">
        <f t="shared" ref="M98" si="361">+IFERROR(M97/L97-1,"nm")</f>
        <v>0.19426774055131246</v>
      </c>
      <c r="N98" s="44">
        <f t="shared" ref="N98" si="362">+IFERROR(N97/M97-1,"nm")</f>
        <v>0.20882369680217172</v>
      </c>
    </row>
    <row r="99" spans="1:16" x14ac:dyDescent="0.3">
      <c r="A99" s="43" t="s">
        <v>130</v>
      </c>
      <c r="B99" s="44">
        <f t="shared" ref="B99:H99" si="363">+IFERROR(B97/B$83,"nm")</f>
        <v>0.33876752526899251</v>
      </c>
      <c r="C99" s="44">
        <f t="shared" si="363"/>
        <v>0.37516512549537651</v>
      </c>
      <c r="D99" s="44">
        <f t="shared" si="363"/>
        <v>0.36842105263157893</v>
      </c>
      <c r="E99" s="44">
        <f t="shared" si="363"/>
        <v>0.36287495130502534</v>
      </c>
      <c r="F99" s="44">
        <f t="shared" si="363"/>
        <v>0.3907860824742268</v>
      </c>
      <c r="G99" s="44">
        <f t="shared" si="363"/>
        <v>0.37939811349004343</v>
      </c>
      <c r="H99" s="44">
        <f t="shared" si="363"/>
        <v>0.39674306393244874</v>
      </c>
      <c r="I99" s="44">
        <f>+IFERROR(I97/I$83,"nm")</f>
        <v>0.31880217304889358</v>
      </c>
      <c r="J99" s="46">
        <f>Assumptions!B24</f>
        <v>0.34</v>
      </c>
      <c r="K99" s="46">
        <f>Assumptions!C24</f>
        <v>0.35</v>
      </c>
      <c r="L99" s="46">
        <f>Assumptions!D24</f>
        <v>0.36</v>
      </c>
      <c r="M99" s="46">
        <f>Assumptions!E24</f>
        <v>0.37</v>
      </c>
      <c r="N99" s="46">
        <f>Assumptions!F24</f>
        <v>0.38</v>
      </c>
      <c r="O99" s="46"/>
      <c r="P99" s="46"/>
    </row>
    <row r="100" spans="1:16" x14ac:dyDescent="0.3">
      <c r="A100" s="9" t="s">
        <v>131</v>
      </c>
      <c r="B100" s="9">
        <f>Historicals!B173</f>
        <v>46</v>
      </c>
      <c r="C100" s="9">
        <f>Historicals!C173</f>
        <v>48</v>
      </c>
      <c r="D100" s="9">
        <f>Historicals!D173</f>
        <v>54</v>
      </c>
      <c r="E100" s="9">
        <f>Historicals!E173</f>
        <v>56</v>
      </c>
      <c r="F100" s="9">
        <f>Historicals!F173</f>
        <v>50</v>
      </c>
      <c r="G100" s="9">
        <f>Historicals!G173</f>
        <v>44</v>
      </c>
      <c r="H100" s="9">
        <f>Historicals!H173</f>
        <v>46</v>
      </c>
      <c r="I100" s="9">
        <f>Historicals!I173</f>
        <v>41</v>
      </c>
      <c r="J100" s="49">
        <f>+J103*J110</f>
        <v>61.146867600000007</v>
      </c>
      <c r="K100" s="45">
        <f t="shared" ref="K100:N100" si="364">+K103*K110</f>
        <v>69.214847644800017</v>
      </c>
      <c r="L100" s="45">
        <f t="shared" si="364"/>
        <v>79.387179830010012</v>
      </c>
      <c r="M100" s="45">
        <f t="shared" si="364"/>
        <v>92.247127671236854</v>
      </c>
      <c r="N100" s="45">
        <f t="shared" si="364"/>
        <v>108.5760266832705</v>
      </c>
    </row>
    <row r="101" spans="1:16" x14ac:dyDescent="0.3">
      <c r="A101" s="43" t="s">
        <v>128</v>
      </c>
      <c r="B101" s="44" t="str">
        <f t="shared" ref="B101" si="365">+IFERROR(B100/A100-1,"nm")</f>
        <v>nm</v>
      </c>
      <c r="C101" s="44">
        <f t="shared" ref="C101" si="366">+IFERROR(C100/B100-1,"nm")</f>
        <v>4.3478260869565188E-2</v>
      </c>
      <c r="D101" s="44">
        <f t="shared" ref="D101" si="367">+IFERROR(D100/C100-1,"nm")</f>
        <v>0.125</v>
      </c>
      <c r="E101" s="44">
        <f t="shared" ref="E101" si="368">+IFERROR(E100/D100-1,"nm")</f>
        <v>3.7037037037036979E-2</v>
      </c>
      <c r="F101" s="44">
        <f t="shared" ref="F101" si="369">+IFERROR(F100/E100-1,"nm")</f>
        <v>-0.1071428571428571</v>
      </c>
      <c r="G101" s="44">
        <f t="shared" ref="G101" si="370">+IFERROR(G100/F100-1,"nm")</f>
        <v>-0.12</v>
      </c>
      <c r="H101" s="44">
        <f t="shared" ref="H101" si="371">+IFERROR(H100/G100-1,"nm")</f>
        <v>4.5454545454545414E-2</v>
      </c>
      <c r="I101" s="44">
        <f>+IFERROR(I100/H100-1,"nm")</f>
        <v>-0.10869565217391308</v>
      </c>
      <c r="J101" s="44">
        <f>+IFERROR(J100/I100-1,"nm")</f>
        <v>0.49138701463414658</v>
      </c>
      <c r="K101" s="44">
        <f t="shared" ref="K101" si="372">+IFERROR(K100/J100-1,"nm")</f>
        <v>0.13194429022231735</v>
      </c>
      <c r="L101" s="44">
        <f t="shared" ref="L101" si="373">+IFERROR(L100/K100-1,"nm")</f>
        <v>0.1469674864764976</v>
      </c>
      <c r="M101" s="44">
        <f t="shared" ref="M101" si="374">+IFERROR(M100/L100-1,"nm")</f>
        <v>0.16199023404992552</v>
      </c>
      <c r="N101" s="44">
        <f t="shared" ref="N101" si="375">+IFERROR(N100/M100-1,"nm")</f>
        <v>0.17701254688632528</v>
      </c>
    </row>
    <row r="102" spans="1:16" x14ac:dyDescent="0.3">
      <c r="A102" s="43" t="s">
        <v>132</v>
      </c>
      <c r="B102" s="44">
        <f>+IFERROR(B100/B$83,"nm")</f>
        <v>1.4998369742419302E-2</v>
      </c>
      <c r="C102" s="44">
        <f t="shared" ref="C102:I102" si="376">+IFERROR(C100/C$83,"nm")</f>
        <v>1.2681638044914135E-2</v>
      </c>
      <c r="D102" s="44">
        <f t="shared" si="376"/>
        <v>1.2744866650932263E-2</v>
      </c>
      <c r="E102" s="44">
        <f t="shared" si="376"/>
        <v>1.090767432800935E-2</v>
      </c>
      <c r="F102" s="44">
        <f t="shared" si="376"/>
        <v>8.0541237113402053E-3</v>
      </c>
      <c r="G102" s="44">
        <f t="shared" si="376"/>
        <v>6.5878125467884411E-3</v>
      </c>
      <c r="H102" s="44">
        <f t="shared" si="376"/>
        <v>5.5488540410132689E-3</v>
      </c>
      <c r="I102" s="44">
        <f t="shared" si="376"/>
        <v>5.4326222340002651E-3</v>
      </c>
      <c r="J102" s="44">
        <f>+IFERROR(J100/J$21,"nm")</f>
        <v>3.1247054680087864E-3</v>
      </c>
      <c r="K102" s="44">
        <f t="shared" ref="K102:N102" si="377">+IFERROR(K100/K$21,"nm")</f>
        <v>3.3108391490096552E-3</v>
      </c>
      <c r="L102" s="44">
        <f t="shared" si="377"/>
        <v>3.4891768342852894E-3</v>
      </c>
      <c r="M102" s="44">
        <f t="shared" si="377"/>
        <v>3.675403323456079E-3</v>
      </c>
      <c r="N102" s="44">
        <f t="shared" si="377"/>
        <v>4.0260487618896086E-3</v>
      </c>
    </row>
    <row r="103" spans="1:16" x14ac:dyDescent="0.3">
      <c r="A103" s="43" t="s">
        <v>139</v>
      </c>
      <c r="B103" s="44">
        <f t="shared" ref="B103:H103" si="378">+IFERROR(B100/B110,"nm")</f>
        <v>0.18110236220472442</v>
      </c>
      <c r="C103" s="44">
        <f t="shared" si="378"/>
        <v>0.20512820512820512</v>
      </c>
      <c r="D103" s="44">
        <f t="shared" si="378"/>
        <v>0.24</v>
      </c>
      <c r="E103" s="44">
        <f t="shared" si="378"/>
        <v>0.21875</v>
      </c>
      <c r="F103" s="44">
        <f t="shared" si="378"/>
        <v>0.2109704641350211</v>
      </c>
      <c r="G103" s="44">
        <f t="shared" si="378"/>
        <v>0.20560747663551401</v>
      </c>
      <c r="H103" s="44">
        <f t="shared" si="378"/>
        <v>0.15972222222222221</v>
      </c>
      <c r="I103" s="44">
        <f>+IFERROR(I100/I110,"nm")</f>
        <v>0.13531353135313531</v>
      </c>
      <c r="J103" s="46">
        <f>Assumptions!B25</f>
        <v>0.186</v>
      </c>
      <c r="K103" s="46">
        <f>Assumptions!C25</f>
        <v>0.186</v>
      </c>
      <c r="L103" s="46">
        <f>Assumptions!D25</f>
        <v>0.186</v>
      </c>
      <c r="M103" s="46">
        <f>Assumptions!E25</f>
        <v>0.186</v>
      </c>
      <c r="N103" s="46">
        <f>Assumptions!F25</f>
        <v>0.186</v>
      </c>
    </row>
    <row r="104" spans="1:16" x14ac:dyDescent="0.3">
      <c r="A104" s="9" t="s">
        <v>133</v>
      </c>
      <c r="B104" s="9">
        <f>Historicals!B140</f>
        <v>993</v>
      </c>
      <c r="C104" s="9">
        <f>Historicals!C140</f>
        <v>1372</v>
      </c>
      <c r="D104" s="9">
        <f>Historicals!D140</f>
        <v>1507</v>
      </c>
      <c r="E104" s="9">
        <f>Historicals!E140</f>
        <v>1807</v>
      </c>
      <c r="F104" s="9">
        <f>Historicals!F140</f>
        <v>2376</v>
      </c>
      <c r="G104" s="9">
        <f>Historicals!G140</f>
        <v>2490</v>
      </c>
      <c r="H104" s="9">
        <f>Historicals!H140</f>
        <v>3243</v>
      </c>
      <c r="I104" s="9">
        <f>Historicals!I140</f>
        <v>2365</v>
      </c>
      <c r="J104" s="9">
        <f>+J97-J100</f>
        <v>2804.8491324000006</v>
      </c>
      <c r="K104" s="9">
        <f t="shared" ref="K104:N104" si="379">+K97-K100</f>
        <v>3270.3490723552</v>
      </c>
      <c r="L104" s="9">
        <f t="shared" si="379"/>
        <v>3860.4232335699899</v>
      </c>
      <c r="M104" s="9">
        <f t="shared" si="379"/>
        <v>4612.9413529405138</v>
      </c>
      <c r="N104" s="9">
        <f t="shared" si="379"/>
        <v>5579.1673066008198</v>
      </c>
    </row>
    <row r="105" spans="1:16" x14ac:dyDescent="0.3">
      <c r="A105" s="43" t="s">
        <v>128</v>
      </c>
      <c r="B105" s="44" t="str">
        <f t="shared" ref="B105" si="380">+IFERROR(B104/A104-1,"nm")</f>
        <v>nm</v>
      </c>
      <c r="C105" s="44">
        <f t="shared" ref="C105" si="381">+IFERROR(C104/B104-1,"nm")</f>
        <v>0.38167170191339372</v>
      </c>
      <c r="D105" s="44">
        <f t="shared" ref="D105" si="382">+IFERROR(D104/C104-1,"nm")</f>
        <v>9.8396501457725938E-2</v>
      </c>
      <c r="E105" s="44">
        <f t="shared" ref="E105" si="383">+IFERROR(E104/D104-1,"nm")</f>
        <v>0.19907100199071004</v>
      </c>
      <c r="F105" s="44">
        <f t="shared" ref="F105" si="384">+IFERROR(F104/E104-1,"nm")</f>
        <v>0.31488655229662421</v>
      </c>
      <c r="G105" s="44">
        <f t="shared" ref="G105" si="385">+IFERROR(G104/F104-1,"nm")</f>
        <v>4.7979797979798011E-2</v>
      </c>
      <c r="H105" s="44">
        <f t="shared" ref="H105" si="386">+IFERROR(H104/G104-1,"nm")</f>
        <v>0.30240963855421676</v>
      </c>
      <c r="I105" s="44">
        <f>+IFERROR(I104/H104-1,"nm")</f>
        <v>-0.27073697193956214</v>
      </c>
      <c r="J105" s="44">
        <f>+IFERROR(J104/I104-1,"nm")</f>
        <v>0.185982719830867</v>
      </c>
      <c r="K105" s="44">
        <f t="shared" ref="K105" si="387">+IFERROR(K104/J104-1,"nm")</f>
        <v>0.16596255911878188</v>
      </c>
      <c r="L105" s="44">
        <f t="shared" ref="L105" si="388">+IFERROR(L104/K104-1,"nm")</f>
        <v>0.18043155276688472</v>
      </c>
      <c r="M105" s="44">
        <f t="shared" ref="M105" si="389">+IFERROR(M104/L104-1,"nm")</f>
        <v>0.1949315072053952</v>
      </c>
      <c r="N105" s="44">
        <f t="shared" ref="N105" si="390">+IFERROR(N104/M104-1,"nm")</f>
        <v>0.20945983912073518</v>
      </c>
    </row>
    <row r="106" spans="1:16" x14ac:dyDescent="0.3">
      <c r="A106" s="43" t="s">
        <v>130</v>
      </c>
      <c r="B106" s="44">
        <f>+IFERROR(B104/B$83,"nm")</f>
        <v>0.3237691555265732</v>
      </c>
      <c r="C106" s="44">
        <f t="shared" ref="C106:H106" si="391">+IFERROR(C104/C$83,"nm")</f>
        <v>0.36248348745046233</v>
      </c>
      <c r="D106" s="44">
        <f t="shared" si="391"/>
        <v>0.35567618598064671</v>
      </c>
      <c r="E106" s="44">
        <f t="shared" si="391"/>
        <v>0.35196727697701596</v>
      </c>
      <c r="F106" s="44">
        <f t="shared" si="391"/>
        <v>0.38273195876288657</v>
      </c>
      <c r="G106" s="44">
        <f t="shared" si="391"/>
        <v>0.37281030094325496</v>
      </c>
      <c r="H106" s="44">
        <f t="shared" si="391"/>
        <v>0.39119420989143544</v>
      </c>
      <c r="I106" s="44">
        <f>+IFERROR(I104/I$83,"nm")</f>
        <v>0.31336955081489332</v>
      </c>
      <c r="J106" s="44">
        <f>+IFERROR(J104/J$52,"nm")</f>
        <v>0.1990422135820088</v>
      </c>
      <c r="K106" s="44">
        <f t="shared" ref="K106:N106" si="392">+IFERROR(K104/K$52,"nm")</f>
        <v>0.20531466081477284</v>
      </c>
      <c r="L106" s="44">
        <f t="shared" si="392"/>
        <v>0.2141539874255399</v>
      </c>
      <c r="M106" s="44">
        <f t="shared" si="392"/>
        <v>0.2237331132286125</v>
      </c>
      <c r="N106" s="44">
        <f t="shared" si="392"/>
        <v>0.23750885754165482</v>
      </c>
    </row>
    <row r="107" spans="1:16" x14ac:dyDescent="0.3">
      <c r="A107" s="9" t="s">
        <v>134</v>
      </c>
      <c r="B107" s="9">
        <f>Historicals!B162</f>
        <v>69</v>
      </c>
      <c r="C107" s="9">
        <f>Historicals!C162</f>
        <v>44</v>
      </c>
      <c r="D107" s="9">
        <f>Historicals!D162</f>
        <v>51</v>
      </c>
      <c r="E107" s="9">
        <f>Historicals!E162</f>
        <v>76</v>
      </c>
      <c r="F107" s="9">
        <f>Historicals!F162</f>
        <v>49</v>
      </c>
      <c r="G107" s="9">
        <f>Historicals!G162</f>
        <v>28</v>
      </c>
      <c r="H107" s="9">
        <f>Historicals!H162</f>
        <v>94</v>
      </c>
      <c r="I107" s="9">
        <f>Historicals!I162</f>
        <v>78</v>
      </c>
      <c r="J107" s="45">
        <f>+J83*J109</f>
        <v>101.15280000000001</v>
      </c>
      <c r="K107" s="45">
        <f t="shared" ref="K107:N107" si="393">+K83*K109</f>
        <v>114.49933440000002</v>
      </c>
      <c r="L107" s="45">
        <f t="shared" si="393"/>
        <v>131.32701378000002</v>
      </c>
      <c r="M107" s="45">
        <f t="shared" si="393"/>
        <v>152.60070747930001</v>
      </c>
      <c r="N107" s="45">
        <f t="shared" si="393"/>
        <v>179.612947366866</v>
      </c>
    </row>
    <row r="108" spans="1:16" x14ac:dyDescent="0.3">
      <c r="A108" s="43" t="s">
        <v>128</v>
      </c>
      <c r="B108" s="44" t="str">
        <f t="shared" ref="B108" si="394">+IFERROR(B107/A107-1,"nm")</f>
        <v>nm</v>
      </c>
      <c r="C108" s="44">
        <f t="shared" ref="C108" si="395">+IFERROR(C107/B107-1,"nm")</f>
        <v>-0.3623188405797102</v>
      </c>
      <c r="D108" s="44">
        <f t="shared" ref="D108" si="396">+IFERROR(D107/C107-1,"nm")</f>
        <v>0.15909090909090917</v>
      </c>
      <c r="E108" s="44">
        <f t="shared" ref="E108" si="397">+IFERROR(E107/D107-1,"nm")</f>
        <v>0.49019607843137258</v>
      </c>
      <c r="F108" s="44">
        <f t="shared" ref="F108" si="398">+IFERROR(F107/E107-1,"nm")</f>
        <v>-0.35526315789473684</v>
      </c>
      <c r="G108" s="44">
        <f t="shared" ref="G108" si="399">+IFERROR(G107/F107-1,"nm")</f>
        <v>-0.4285714285714286</v>
      </c>
      <c r="H108" s="44">
        <f t="shared" ref="H108" si="400">+IFERROR(H107/G107-1,"nm")</f>
        <v>2.3571428571428572</v>
      </c>
      <c r="I108" s="44">
        <f>+IFERROR(I107/H107-1,"nm")</f>
        <v>-0.17021276595744683</v>
      </c>
      <c r="J108" s="44">
        <f>+IFERROR(J107/I107-1,"nm")</f>
        <v>0.29683076923076945</v>
      </c>
      <c r="K108" s="44">
        <f t="shared" ref="K108" si="401">+IFERROR(K107/J107-1,"nm")</f>
        <v>0.13194429022231713</v>
      </c>
      <c r="L108" s="44">
        <f t="shared" ref="L108" si="402">+IFERROR(L107/K107-1,"nm")</f>
        <v>0.1469674864764976</v>
      </c>
      <c r="M108" s="44">
        <f t="shared" ref="M108" si="403">+IFERROR(M107/L107-1,"nm")</f>
        <v>0.16199023404992552</v>
      </c>
      <c r="N108" s="44">
        <f t="shared" ref="N108" si="404">+IFERROR(N107/M107-1,"nm")</f>
        <v>0.17701254688632506</v>
      </c>
    </row>
    <row r="109" spans="1:16" x14ac:dyDescent="0.3">
      <c r="A109" s="43" t="s">
        <v>132</v>
      </c>
      <c r="B109" s="44">
        <f t="shared" ref="B109:H109" si="405">+IFERROR(B107/B$83,"nm")</f>
        <v>2.2497554613628953E-2</v>
      </c>
      <c r="C109" s="44">
        <f t="shared" si="405"/>
        <v>1.1624834874504624E-2</v>
      </c>
      <c r="D109" s="44">
        <f t="shared" si="405"/>
        <v>1.2036818503658248E-2</v>
      </c>
      <c r="E109" s="44">
        <f t="shared" si="405"/>
        <v>1.4803272302298403E-2</v>
      </c>
      <c r="F109" s="44">
        <f t="shared" si="405"/>
        <v>7.8930412371134018E-3</v>
      </c>
      <c r="G109" s="44">
        <f t="shared" si="405"/>
        <v>4.1922443479562805E-3</v>
      </c>
      <c r="H109" s="44">
        <f t="shared" si="405"/>
        <v>1.1338962605548853E-2</v>
      </c>
      <c r="I109" s="44">
        <f>+IFERROR(I107/I$83,"nm")</f>
        <v>1.0335232542732211E-2</v>
      </c>
      <c r="J109" s="46">
        <f>Assumptions!B27</f>
        <v>1.2E-2</v>
      </c>
      <c r="K109" s="46">
        <f>Assumptions!C27</f>
        <v>1.2E-2</v>
      </c>
      <c r="L109" s="46">
        <f>Assumptions!D27</f>
        <v>1.2E-2</v>
      </c>
      <c r="M109" s="46">
        <f>Assumptions!E27</f>
        <v>1.2E-2</v>
      </c>
      <c r="N109" s="46">
        <f>Assumptions!F27</f>
        <v>1.2E-2</v>
      </c>
    </row>
    <row r="110" spans="1:16" x14ac:dyDescent="0.3">
      <c r="A110" s="9" t="s">
        <v>140</v>
      </c>
      <c r="B110" s="9">
        <f>Historicals!B151</f>
        <v>254</v>
      </c>
      <c r="C110" s="9">
        <f>Historicals!C151</f>
        <v>234</v>
      </c>
      <c r="D110" s="9">
        <f>Historicals!D151</f>
        <v>225</v>
      </c>
      <c r="E110" s="9">
        <f>Historicals!E151</f>
        <v>256</v>
      </c>
      <c r="F110" s="9">
        <f>Historicals!F151</f>
        <v>237</v>
      </c>
      <c r="G110" s="9">
        <f>Historicals!G151</f>
        <v>214</v>
      </c>
      <c r="H110" s="9">
        <f>Historicals!H151</f>
        <v>288</v>
      </c>
      <c r="I110" s="9">
        <f>Historicals!I151</f>
        <v>303</v>
      </c>
      <c r="J110" s="45">
        <f>+J83*J112</f>
        <v>328.74660000000006</v>
      </c>
      <c r="K110" s="45">
        <f t="shared" ref="K110:N110" si="406">+K83*K112</f>
        <v>372.12283680000007</v>
      </c>
      <c r="L110" s="45">
        <f t="shared" si="406"/>
        <v>426.81279478500005</v>
      </c>
      <c r="M110" s="45">
        <f t="shared" si="406"/>
        <v>495.95229930772501</v>
      </c>
      <c r="N110" s="45">
        <f t="shared" si="406"/>
        <v>583.74207894231449</v>
      </c>
    </row>
    <row r="111" spans="1:16" x14ac:dyDescent="0.3">
      <c r="A111" s="43" t="s">
        <v>128</v>
      </c>
      <c r="B111" s="44" t="str">
        <f t="shared" ref="B111" si="407">+IFERROR(B110/A110-1,"nm")</f>
        <v>nm</v>
      </c>
      <c r="C111" s="44">
        <f t="shared" ref="C111" si="408">+IFERROR(C110/B110-1,"nm")</f>
        <v>-7.8740157480314932E-2</v>
      </c>
      <c r="D111" s="44">
        <f t="shared" ref="D111" si="409">+IFERROR(D110/C110-1,"nm")</f>
        <v>-3.8461538461538436E-2</v>
      </c>
      <c r="E111" s="44">
        <f t="shared" ref="E111" si="410">+IFERROR(E110/D110-1,"nm")</f>
        <v>0.13777777777777778</v>
      </c>
      <c r="F111" s="44">
        <f t="shared" ref="F111" si="411">+IFERROR(F110/E110-1,"nm")</f>
        <v>-7.421875E-2</v>
      </c>
      <c r="G111" s="44">
        <f t="shared" ref="G111" si="412">+IFERROR(G110/F110-1,"nm")</f>
        <v>-9.7046413502109741E-2</v>
      </c>
      <c r="H111" s="44">
        <f t="shared" ref="H111" si="413">+IFERROR(H110/G110-1,"nm")</f>
        <v>0.34579439252336441</v>
      </c>
      <c r="I111" s="44">
        <f>+IFERROR(I110/H110-1,"nm")</f>
        <v>5.2083333333333259E-2</v>
      </c>
      <c r="J111" s="44">
        <f>+J112+J113</f>
        <v>3.9E-2</v>
      </c>
      <c r="K111" s="44">
        <f t="shared" ref="K111:N111" si="414">+K112+K113</f>
        <v>3.9E-2</v>
      </c>
      <c r="L111" s="44">
        <f t="shared" si="414"/>
        <v>3.9E-2</v>
      </c>
      <c r="M111" s="44">
        <f t="shared" si="414"/>
        <v>3.9E-2</v>
      </c>
      <c r="N111" s="44">
        <f t="shared" si="414"/>
        <v>3.9E-2</v>
      </c>
    </row>
    <row r="112" spans="1:16" x14ac:dyDescent="0.3">
      <c r="A112" s="43" t="s">
        <v>132</v>
      </c>
      <c r="B112" s="44">
        <f t="shared" ref="B112:H112" si="415">+IFERROR(B110/B$83,"nm")</f>
        <v>8.2817085099445714E-2</v>
      </c>
      <c r="C112" s="44">
        <f t="shared" si="415"/>
        <v>6.1822985468956405E-2</v>
      </c>
      <c r="D112" s="44">
        <f t="shared" si="415"/>
        <v>5.31036110455511E-2</v>
      </c>
      <c r="E112" s="44">
        <f t="shared" si="415"/>
        <v>4.9863654070899883E-2</v>
      </c>
      <c r="F112" s="44">
        <f t="shared" si="415"/>
        <v>3.817654639175258E-2</v>
      </c>
      <c r="G112" s="44">
        <f t="shared" si="415"/>
        <v>3.2040724659380147E-2</v>
      </c>
      <c r="H112" s="44">
        <f t="shared" si="415"/>
        <v>3.4740651387213509E-2</v>
      </c>
      <c r="I112" s="44">
        <f>+IFERROR(I110/I$83,"nm")</f>
        <v>4.0148403339075128E-2</v>
      </c>
      <c r="J112" s="46">
        <f>Assumptions!B26</f>
        <v>3.9E-2</v>
      </c>
      <c r="K112" s="46">
        <f>Assumptions!C26</f>
        <v>3.9E-2</v>
      </c>
      <c r="L112" s="46">
        <f>Assumptions!D26</f>
        <v>3.9E-2</v>
      </c>
      <c r="M112" s="46">
        <f>Assumptions!E26</f>
        <v>3.9E-2</v>
      </c>
      <c r="N112" s="46">
        <f>Assumptions!F26</f>
        <v>3.9E-2</v>
      </c>
    </row>
    <row r="113" spans="1:14" x14ac:dyDescent="0.3">
      <c r="A113" s="41" t="str">
        <f>Historicals!A123</f>
        <v>Asia Pacific &amp; Latin America</v>
      </c>
      <c r="B113" s="41"/>
      <c r="C113" s="41"/>
      <c r="D113" s="41"/>
      <c r="E113" s="41"/>
      <c r="F113" s="41"/>
      <c r="G113" s="41"/>
      <c r="H113" s="41"/>
      <c r="I113" s="41"/>
      <c r="J113" s="37"/>
      <c r="K113" s="37"/>
      <c r="L113" s="37"/>
      <c r="M113" s="37"/>
      <c r="N113" s="37"/>
    </row>
    <row r="114" spans="1:14" x14ac:dyDescent="0.3">
      <c r="A114" s="9" t="s">
        <v>135</v>
      </c>
      <c r="B114" s="9">
        <f t="shared" ref="B114:I114" si="416">+SUM(B116+B120+B124)</f>
        <v>0</v>
      </c>
      <c r="C114" s="9">
        <f t="shared" si="416"/>
        <v>0</v>
      </c>
      <c r="D114" s="9">
        <f t="shared" si="416"/>
        <v>4737</v>
      </c>
      <c r="E114" s="9">
        <f t="shared" si="416"/>
        <v>5166</v>
      </c>
      <c r="F114" s="9">
        <f t="shared" si="416"/>
        <v>5254</v>
      </c>
      <c r="G114" s="9">
        <f t="shared" si="416"/>
        <v>5028</v>
      </c>
      <c r="H114" s="9">
        <f t="shared" si="416"/>
        <v>5343</v>
      </c>
      <c r="I114" s="9">
        <f t="shared" si="416"/>
        <v>5955</v>
      </c>
      <c r="J114" s="9">
        <f>+SUM(J116+J120+J124)</f>
        <v>6988.2399999999989</v>
      </c>
      <c r="K114" s="9">
        <f t="shared" ref="K114:N114" si="417">+SUM(K116+K120+K124)</f>
        <v>8218.107399999999</v>
      </c>
      <c r="L114" s="9">
        <f t="shared" si="417"/>
        <v>9685.3350819999996</v>
      </c>
      <c r="M114" s="9">
        <f t="shared" si="417"/>
        <v>11457.470274759999</v>
      </c>
      <c r="N114" s="9">
        <f t="shared" si="417"/>
        <v>13567.331588432799</v>
      </c>
    </row>
    <row r="115" spans="1:14" x14ac:dyDescent="0.3">
      <c r="A115" s="42" t="s">
        <v>128</v>
      </c>
      <c r="B115" s="44" t="str">
        <f t="shared" ref="B115" si="418">+IFERROR(B114/A114-1,"nm")</f>
        <v>nm</v>
      </c>
      <c r="C115" s="44" t="str">
        <f t="shared" ref="C115" si="419">+IFERROR(C114/B114-1,"nm")</f>
        <v>nm</v>
      </c>
      <c r="D115" s="44" t="str">
        <f t="shared" ref="D115" si="420">+IFERROR(D114/C114-1,"nm")</f>
        <v>nm</v>
      </c>
      <c r="E115" s="44">
        <f t="shared" ref="E115" si="421">+IFERROR(E114/D114-1,"nm")</f>
        <v>9.0563647878403986E-2</v>
      </c>
      <c r="F115" s="44">
        <f t="shared" ref="F115" si="422">+IFERROR(F114/E114-1,"nm")</f>
        <v>1.7034456058846237E-2</v>
      </c>
      <c r="G115" s="44">
        <f t="shared" ref="G115" si="423">+IFERROR(G114/F114-1,"nm")</f>
        <v>-4.3014845831747195E-2</v>
      </c>
      <c r="H115" s="44">
        <f t="shared" ref="H115" si="424">+IFERROR(H114/G114-1,"nm")</f>
        <v>6.2649164677804237E-2</v>
      </c>
      <c r="I115" s="44">
        <f>+IFERROR(I114/H114-1,"nm")</f>
        <v>0.11454239191465465</v>
      </c>
      <c r="J115" s="44">
        <f>+IFERROR(J114/I114-1,"nm")</f>
        <v>0.173507976490344</v>
      </c>
      <c r="K115" s="44">
        <f t="shared" ref="K115" si="425">+IFERROR(K114/J114-1,"nm")</f>
        <v>0.17599100775016319</v>
      </c>
      <c r="L115" s="44">
        <f t="shared" ref="L115" si="426">+IFERROR(L114/K114-1,"nm")</f>
        <v>0.17853595853468662</v>
      </c>
      <c r="M115" s="44">
        <f t="shared" ref="M115" si="427">+IFERROR(M114/L114-1,"nm")</f>
        <v>0.18297097392670247</v>
      </c>
      <c r="N115" s="44">
        <f t="shared" ref="N115" si="428">+IFERROR(N114/M114-1,"nm")</f>
        <v>0.18414722125185667</v>
      </c>
    </row>
    <row r="116" spans="1:14" x14ac:dyDescent="0.3">
      <c r="A116" s="48" t="s">
        <v>112</v>
      </c>
      <c r="B116" s="9">
        <f>Historicals!B124</f>
        <v>0</v>
      </c>
      <c r="C116" s="9">
        <f>Historicals!C124</f>
        <v>0</v>
      </c>
      <c r="D116" s="9">
        <f>Historicals!D124</f>
        <v>3285</v>
      </c>
      <c r="E116" s="9">
        <f>Historicals!E124</f>
        <v>3575</v>
      </c>
      <c r="F116" s="9">
        <f>Historicals!F124</f>
        <v>3622</v>
      </c>
      <c r="G116" s="9">
        <f>Historicals!G124</f>
        <v>3449</v>
      </c>
      <c r="H116" s="9">
        <f>Historicals!H124</f>
        <v>3659</v>
      </c>
      <c r="I116" s="9">
        <f>Historicals!I124</f>
        <v>4111</v>
      </c>
      <c r="J116" s="9">
        <f>+I116*(1+J117)</f>
        <v>4850.9799999999996</v>
      </c>
      <c r="K116" s="9">
        <f t="shared" ref="K116" si="429">+J116*(1+K117)</f>
        <v>5724.1563999999989</v>
      </c>
      <c r="L116" s="9">
        <f t="shared" ref="L116" si="430">+K116*(1+L117)</f>
        <v>6754.5045519999985</v>
      </c>
      <c r="M116" s="9">
        <f t="shared" ref="M116" si="431">+L116*(1+M117)</f>
        <v>7970.3153713599977</v>
      </c>
      <c r="N116" s="9">
        <f t="shared" ref="N116" si="432">+M116*(1+N117)</f>
        <v>9404.9721382047974</v>
      </c>
    </row>
    <row r="117" spans="1:14" x14ac:dyDescent="0.3">
      <c r="A117" s="42" t="s">
        <v>128</v>
      </c>
      <c r="B117" s="44" t="str">
        <f t="shared" ref="B117" si="433">+IFERROR(B116/A116-1,"nm")</f>
        <v>nm</v>
      </c>
      <c r="C117" s="44" t="str">
        <f t="shared" ref="C117" si="434">+IFERROR(C116/B116-1,"nm")</f>
        <v>nm</v>
      </c>
      <c r="D117" s="44" t="str">
        <f t="shared" ref="D117" si="435">+IFERROR(D116/C116-1,"nm")</f>
        <v>nm</v>
      </c>
      <c r="E117" s="44">
        <f t="shared" ref="E117" si="436">+IFERROR(E116/D116-1,"nm")</f>
        <v>8.8280060882800715E-2</v>
      </c>
      <c r="F117" s="44">
        <f t="shared" ref="F117" si="437">+IFERROR(F116/E116-1,"nm")</f>
        <v>1.3146853146853044E-2</v>
      </c>
      <c r="G117" s="44">
        <f t="shared" ref="G117" si="438">+IFERROR(G116/F116-1,"nm")</f>
        <v>-4.7763666482606326E-2</v>
      </c>
      <c r="H117" s="44">
        <f t="shared" ref="H117" si="439">+IFERROR(H116/G116-1,"nm")</f>
        <v>6.0887213685126174E-2</v>
      </c>
      <c r="I117" s="44">
        <f>+IFERROR(I116/H116-1,"nm")</f>
        <v>0.12353101940420874</v>
      </c>
      <c r="J117" s="44">
        <f>+J118+J119</f>
        <v>0.18</v>
      </c>
      <c r="K117" s="44">
        <f t="shared" ref="K117:N117" si="440">+K118+K119</f>
        <v>0.18</v>
      </c>
      <c r="L117" s="44">
        <f t="shared" si="440"/>
        <v>0.18</v>
      </c>
      <c r="M117" s="44">
        <f t="shared" si="440"/>
        <v>0.18</v>
      </c>
      <c r="N117" s="44">
        <f t="shared" si="440"/>
        <v>0.18</v>
      </c>
    </row>
    <row r="118" spans="1:14" x14ac:dyDescent="0.3">
      <c r="A118" s="42" t="s">
        <v>136</v>
      </c>
      <c r="B118" s="44">
        <f>Historicals!B196</f>
        <v>0</v>
      </c>
      <c r="C118" s="44">
        <f>Historicals!C196</f>
        <v>0</v>
      </c>
      <c r="D118" s="44">
        <f>Historicals!D196</f>
        <v>0.16</v>
      </c>
      <c r="E118" s="44">
        <f>Historicals!E196</f>
        <v>0.09</v>
      </c>
      <c r="F118" s="44">
        <f>Historicals!F196</f>
        <v>0.12</v>
      </c>
      <c r="G118" s="44">
        <f>Historicals!G196</f>
        <v>0</v>
      </c>
      <c r="H118" s="44">
        <f>Historicals!H196</f>
        <v>0.08</v>
      </c>
      <c r="I118" s="44">
        <f>Historicals!I196</f>
        <v>0.17</v>
      </c>
      <c r="J118" s="46">
        <f>Assumptions!B29</f>
        <v>0.18</v>
      </c>
      <c r="K118" s="46">
        <f>Assumptions!C29</f>
        <v>0.18</v>
      </c>
      <c r="L118" s="46">
        <f>Assumptions!D29</f>
        <v>0.18</v>
      </c>
      <c r="M118" s="46">
        <f>Assumptions!E29</f>
        <v>0.18</v>
      </c>
      <c r="N118" s="46">
        <f>Assumptions!F29</f>
        <v>0.18</v>
      </c>
    </row>
    <row r="119" spans="1:14" x14ac:dyDescent="0.3">
      <c r="A119" s="42" t="s">
        <v>137</v>
      </c>
      <c r="B119" s="44" t="str">
        <f>+IFERROR(B117-B118,"nm")</f>
        <v>nm</v>
      </c>
      <c r="C119" s="44" t="str">
        <f t="shared" ref="C119:H119" si="441">+IFERROR(C117-C118,"nm")</f>
        <v>nm</v>
      </c>
      <c r="D119" s="44" t="str">
        <f t="shared" si="441"/>
        <v>nm</v>
      </c>
      <c r="E119" s="44">
        <f t="shared" si="441"/>
        <v>-1.7199391171992817E-3</v>
      </c>
      <c r="F119" s="44">
        <f t="shared" si="441"/>
        <v>-0.10685314685314695</v>
      </c>
      <c r="G119" s="44">
        <f t="shared" si="441"/>
        <v>-4.7763666482606326E-2</v>
      </c>
      <c r="H119" s="44">
        <f t="shared" si="441"/>
        <v>-1.9112786314873828E-2</v>
      </c>
      <c r="I119" s="44">
        <f>+IFERROR(I117-I118,"nm")</f>
        <v>-4.646898059579127E-2</v>
      </c>
      <c r="J119" s="46">
        <v>0</v>
      </c>
      <c r="K119" s="46">
        <f t="shared" ref="K119" si="442">+J119</f>
        <v>0</v>
      </c>
      <c r="L119" s="46">
        <f t="shared" ref="L119" si="443">+K119</f>
        <v>0</v>
      </c>
      <c r="M119" s="46">
        <f t="shared" ref="M119" si="444">+L119</f>
        <v>0</v>
      </c>
      <c r="N119" s="46">
        <f t="shared" ref="N119" si="445">+M119</f>
        <v>0</v>
      </c>
    </row>
    <row r="120" spans="1:14" x14ac:dyDescent="0.3">
      <c r="A120" s="48" t="s">
        <v>113</v>
      </c>
      <c r="B120" s="9">
        <f>Historicals!B125</f>
        <v>0</v>
      </c>
      <c r="C120" s="9">
        <f>Historicals!C125</f>
        <v>0</v>
      </c>
      <c r="D120" s="9">
        <f>Historicals!D125</f>
        <v>1185</v>
      </c>
      <c r="E120" s="9">
        <f>Historicals!E125</f>
        <v>1347</v>
      </c>
      <c r="F120" s="9">
        <f>Historicals!F125</f>
        <v>1395</v>
      </c>
      <c r="G120" s="9">
        <f>Historicals!G125</f>
        <v>1365</v>
      </c>
      <c r="H120" s="9">
        <f>Historicals!H125</f>
        <v>1494</v>
      </c>
      <c r="I120" s="9">
        <f>Historicals!I125</f>
        <v>1610</v>
      </c>
      <c r="J120" s="9">
        <f>+I120*(1+J121)</f>
        <v>1835.4</v>
      </c>
      <c r="K120" s="9">
        <f t="shared" ref="K120" si="446">+J120*(1+K121)</f>
        <v>2101.5330000000004</v>
      </c>
      <c r="L120" s="9">
        <f t="shared" ref="L120" si="447">+K120*(1+L121)</f>
        <v>2416.7629500000003</v>
      </c>
      <c r="M120" s="9">
        <f t="shared" ref="M120" si="448">+L120*(1+M121)</f>
        <v>2803.4450220000003</v>
      </c>
      <c r="N120" s="9">
        <f t="shared" ref="N120" si="449">+M120*(1+N121)</f>
        <v>3294.0479008500006</v>
      </c>
    </row>
    <row r="121" spans="1:14" x14ac:dyDescent="0.3">
      <c r="A121" s="42" t="s">
        <v>128</v>
      </c>
      <c r="B121" s="44" t="str">
        <f t="shared" ref="B121" si="450">+IFERROR(B120/A120-1,"nm")</f>
        <v>nm</v>
      </c>
      <c r="C121" s="44" t="str">
        <f t="shared" ref="C121" si="451">+IFERROR(C120/B120-1,"nm")</f>
        <v>nm</v>
      </c>
      <c r="D121" s="44" t="str">
        <f t="shared" ref="D121" si="452">+IFERROR(D120/C120-1,"nm")</f>
        <v>nm</v>
      </c>
      <c r="E121" s="44">
        <f t="shared" ref="E121" si="453">+IFERROR(E120/D120-1,"nm")</f>
        <v>0.13670886075949373</v>
      </c>
      <c r="F121" s="44">
        <f t="shared" ref="F121" si="454">+IFERROR(F120/E120-1,"nm")</f>
        <v>3.563474387527843E-2</v>
      </c>
      <c r="G121" s="44">
        <f t="shared" ref="G121" si="455">+IFERROR(G120/F120-1,"nm")</f>
        <v>-2.1505376344086002E-2</v>
      </c>
      <c r="H121" s="44">
        <f t="shared" ref="H121" si="456">+IFERROR(H120/G120-1,"nm")</f>
        <v>9.4505494505494614E-2</v>
      </c>
      <c r="I121" s="44">
        <f>+IFERROR(I120/H120-1,"nm")</f>
        <v>7.7643908969210251E-2</v>
      </c>
      <c r="J121" s="44">
        <f>+J122+J123</f>
        <v>0.14000000000000001</v>
      </c>
      <c r="K121" s="44">
        <f t="shared" ref="K121:N121" si="457">+K122+K123</f>
        <v>0.14499999999999999</v>
      </c>
      <c r="L121" s="44">
        <f t="shared" si="457"/>
        <v>0.15</v>
      </c>
      <c r="M121" s="44">
        <f t="shared" si="457"/>
        <v>0.16</v>
      </c>
      <c r="N121" s="44">
        <f t="shared" si="457"/>
        <v>0.17499999999999999</v>
      </c>
    </row>
    <row r="122" spans="1:14" x14ac:dyDescent="0.3">
      <c r="A122" s="42" t="s">
        <v>136</v>
      </c>
      <c r="B122" s="44">
        <f>Historicals!B197</f>
        <v>0</v>
      </c>
      <c r="C122" s="44">
        <f>Historicals!C197</f>
        <v>0</v>
      </c>
      <c r="D122" s="44">
        <f>Historicals!D197</f>
        <v>0.09</v>
      </c>
      <c r="E122" s="44">
        <f>Historicals!E197</f>
        <v>0.15</v>
      </c>
      <c r="F122" s="44">
        <f>Historicals!F197</f>
        <v>0.15</v>
      </c>
      <c r="G122" s="44">
        <f>Historicals!G197</f>
        <v>0.03</v>
      </c>
      <c r="H122" s="44">
        <f>Historicals!H197</f>
        <v>0.1</v>
      </c>
      <c r="I122" s="44">
        <f>Historicals!I197</f>
        <v>0.12</v>
      </c>
      <c r="J122" s="46">
        <f>Assumptions!B30</f>
        <v>0.14000000000000001</v>
      </c>
      <c r="K122" s="46">
        <f>Assumptions!C30</f>
        <v>0.14499999999999999</v>
      </c>
      <c r="L122" s="46">
        <f>Assumptions!D30</f>
        <v>0.15</v>
      </c>
      <c r="M122" s="46">
        <f>Assumptions!E30</f>
        <v>0.16</v>
      </c>
      <c r="N122" s="46">
        <f>Assumptions!F30</f>
        <v>0.17499999999999999</v>
      </c>
    </row>
    <row r="123" spans="1:14" x14ac:dyDescent="0.3">
      <c r="A123" s="42" t="s">
        <v>137</v>
      </c>
      <c r="B123" s="44" t="str">
        <f t="shared" ref="B123:H123" si="458">+IFERROR(B121-B122,"nm")</f>
        <v>nm</v>
      </c>
      <c r="C123" s="44" t="str">
        <f t="shared" si="458"/>
        <v>nm</v>
      </c>
      <c r="D123" s="44" t="str">
        <f t="shared" si="458"/>
        <v>nm</v>
      </c>
      <c r="E123" s="44">
        <f t="shared" si="458"/>
        <v>-1.3291139240506261E-2</v>
      </c>
      <c r="F123" s="44">
        <f t="shared" si="458"/>
        <v>-0.11436525612472156</v>
      </c>
      <c r="G123" s="44">
        <f t="shared" si="458"/>
        <v>-5.1505376344086001E-2</v>
      </c>
      <c r="H123" s="44">
        <f t="shared" si="458"/>
        <v>-5.4945054945053917E-3</v>
      </c>
      <c r="I123" s="44">
        <f>+IFERROR(I121-I122,"nm")</f>
        <v>-4.2356091030789744E-2</v>
      </c>
      <c r="J123" s="46">
        <v>0</v>
      </c>
      <c r="K123" s="46">
        <f t="shared" ref="K123" si="459">+J123</f>
        <v>0</v>
      </c>
      <c r="L123" s="46">
        <f t="shared" ref="L123" si="460">+K123</f>
        <v>0</v>
      </c>
      <c r="M123" s="46">
        <f t="shared" ref="M123" si="461">+L123</f>
        <v>0</v>
      </c>
      <c r="N123" s="46">
        <f t="shared" ref="N123" si="462">+M123</f>
        <v>0</v>
      </c>
    </row>
    <row r="124" spans="1:14" x14ac:dyDescent="0.3">
      <c r="A124" s="48" t="s">
        <v>114</v>
      </c>
      <c r="B124" s="9">
        <f>Historicals!B126</f>
        <v>0</v>
      </c>
      <c r="C124" s="9">
        <f>Historicals!C126</f>
        <v>0</v>
      </c>
      <c r="D124" s="9">
        <f>Historicals!D126</f>
        <v>267</v>
      </c>
      <c r="E124" s="9">
        <f>Historicals!E126</f>
        <v>244</v>
      </c>
      <c r="F124" s="9">
        <f>Historicals!F126</f>
        <v>237</v>
      </c>
      <c r="G124" s="9">
        <f>Historicals!G126</f>
        <v>214</v>
      </c>
      <c r="H124" s="9">
        <f>Historicals!H126</f>
        <v>190</v>
      </c>
      <c r="I124" s="9">
        <f>Historicals!I126</f>
        <v>234</v>
      </c>
      <c r="J124" s="9">
        <f>+I124*(1+J125)</f>
        <v>301.86</v>
      </c>
      <c r="K124" s="9">
        <f t="shared" ref="K124" si="463">+J124*(1+K125)</f>
        <v>392.41800000000001</v>
      </c>
      <c r="L124" s="9">
        <f t="shared" ref="L124" si="464">+K124*(1+L125)</f>
        <v>514.06758000000002</v>
      </c>
      <c r="M124" s="9">
        <f t="shared" ref="M124" si="465">+L124*(1+M125)</f>
        <v>683.70988140000009</v>
      </c>
      <c r="N124" s="9">
        <f t="shared" ref="N124" si="466">+M124*(1+N125)</f>
        <v>868.31154937800011</v>
      </c>
    </row>
    <row r="125" spans="1:14" x14ac:dyDescent="0.3">
      <c r="A125" s="42" t="s">
        <v>128</v>
      </c>
      <c r="B125" s="44" t="str">
        <f t="shared" ref="B125" si="467">+IFERROR(B124/A124-1,"nm")</f>
        <v>nm</v>
      </c>
      <c r="C125" s="44" t="str">
        <f t="shared" ref="C125" si="468">+IFERROR(C124/B124-1,"nm")</f>
        <v>nm</v>
      </c>
      <c r="D125" s="44" t="str">
        <f t="shared" ref="D125" si="469">+IFERROR(D124/C124-1,"nm")</f>
        <v>nm</v>
      </c>
      <c r="E125" s="44">
        <f t="shared" ref="E125" si="470">+IFERROR(E124/D124-1,"nm")</f>
        <v>-8.6142322097378266E-2</v>
      </c>
      <c r="F125" s="44">
        <f t="shared" ref="F125" si="471">+IFERROR(F124/E124-1,"nm")</f>
        <v>-2.8688524590163911E-2</v>
      </c>
      <c r="G125" s="44">
        <f t="shared" ref="G125" si="472">+IFERROR(G124/F124-1,"nm")</f>
        <v>-9.7046413502109741E-2</v>
      </c>
      <c r="H125" s="44">
        <f t="shared" ref="H125" si="473">+IFERROR(H124/G124-1,"nm")</f>
        <v>-0.11214953271028039</v>
      </c>
      <c r="I125" s="44">
        <f>+IFERROR(I124/H124-1,"nm")</f>
        <v>0.23157894736842111</v>
      </c>
      <c r="J125" s="44">
        <f>+J126+J127</f>
        <v>0.28999999999999998</v>
      </c>
      <c r="K125" s="44">
        <f t="shared" ref="K125:N125" si="474">+K126+K127</f>
        <v>0.3</v>
      </c>
      <c r="L125" s="44">
        <f t="shared" si="474"/>
        <v>0.31</v>
      </c>
      <c r="M125" s="44">
        <f t="shared" si="474"/>
        <v>0.33</v>
      </c>
      <c r="N125" s="44">
        <f t="shared" si="474"/>
        <v>0.27</v>
      </c>
    </row>
    <row r="126" spans="1:14" x14ac:dyDescent="0.3">
      <c r="A126" s="42" t="s">
        <v>136</v>
      </c>
      <c r="B126" s="44">
        <f>Historicals!B198</f>
        <v>0</v>
      </c>
      <c r="C126" s="44">
        <f>Historicals!C198</f>
        <v>0</v>
      </c>
      <c r="D126" s="44">
        <f>Historicals!D198</f>
        <v>-0.01</v>
      </c>
      <c r="E126" s="44">
        <f>Historicals!E198</f>
        <v>-0.08</v>
      </c>
      <c r="F126" s="44">
        <f>Historicals!F198</f>
        <v>0.08</v>
      </c>
      <c r="G126" s="44">
        <f>Historicals!G198</f>
        <v>-0.04</v>
      </c>
      <c r="H126" s="44">
        <f>Historicals!H198</f>
        <v>-0.09</v>
      </c>
      <c r="I126" s="44">
        <f>Historicals!I198</f>
        <v>0.28000000000000003</v>
      </c>
      <c r="J126" s="46">
        <f>Assumptions!B31</f>
        <v>0.28999999999999998</v>
      </c>
      <c r="K126" s="46">
        <f>Assumptions!C31</f>
        <v>0.3</v>
      </c>
      <c r="L126" s="46">
        <f>Assumptions!D31</f>
        <v>0.31</v>
      </c>
      <c r="M126" s="46">
        <f>Assumptions!E31</f>
        <v>0.33</v>
      </c>
      <c r="N126" s="46">
        <f>Assumptions!F31</f>
        <v>0.27</v>
      </c>
    </row>
    <row r="127" spans="1:14" x14ac:dyDescent="0.3">
      <c r="A127" s="42" t="s">
        <v>137</v>
      </c>
      <c r="B127" s="44" t="str">
        <f t="shared" ref="B127:H127" si="475">+IFERROR(B125-B126,"nm")</f>
        <v>nm</v>
      </c>
      <c r="C127" s="44" t="str">
        <f t="shared" si="475"/>
        <v>nm</v>
      </c>
      <c r="D127" s="44" t="str">
        <f t="shared" si="475"/>
        <v>nm</v>
      </c>
      <c r="E127" s="44">
        <f t="shared" si="475"/>
        <v>-6.1423220973782638E-3</v>
      </c>
      <c r="F127" s="44">
        <f t="shared" si="475"/>
        <v>-0.10868852459016391</v>
      </c>
      <c r="G127" s="44">
        <f t="shared" si="475"/>
        <v>-5.704641350210974E-2</v>
      </c>
      <c r="H127" s="44">
        <f t="shared" si="475"/>
        <v>-2.214953271028039E-2</v>
      </c>
      <c r="I127" s="44">
        <f>+IFERROR(I125-I126,"nm")</f>
        <v>-4.842105263157892E-2</v>
      </c>
      <c r="J127" s="46">
        <v>0</v>
      </c>
      <c r="K127" s="46">
        <f t="shared" ref="K127" si="476">+J127</f>
        <v>0</v>
      </c>
      <c r="L127" s="46">
        <f t="shared" ref="L127" si="477">+K127</f>
        <v>0</v>
      </c>
      <c r="M127" s="46">
        <f t="shared" ref="M127" si="478">+L127</f>
        <v>0</v>
      </c>
      <c r="N127" s="46">
        <f t="shared" ref="N127" si="479">+M127</f>
        <v>0</v>
      </c>
    </row>
    <row r="128" spans="1:14" x14ac:dyDescent="0.3">
      <c r="A128" s="9" t="s">
        <v>129</v>
      </c>
      <c r="B128" s="45">
        <f>+B135+B131</f>
        <v>0</v>
      </c>
      <c r="C128" s="45">
        <f t="shared" ref="C128:H128" si="480">+C135+C131</f>
        <v>0</v>
      </c>
      <c r="D128" s="45">
        <f t="shared" si="480"/>
        <v>980</v>
      </c>
      <c r="E128" s="45">
        <f t="shared" si="480"/>
        <v>1244</v>
      </c>
      <c r="F128" s="45">
        <f t="shared" si="480"/>
        <v>1376</v>
      </c>
      <c r="G128" s="45">
        <f t="shared" si="480"/>
        <v>1230</v>
      </c>
      <c r="H128" s="45">
        <f t="shared" si="480"/>
        <v>1573</v>
      </c>
      <c r="I128" s="45">
        <f>+I135+I131</f>
        <v>1938</v>
      </c>
      <c r="J128" s="45">
        <f>+J114*J130</f>
        <v>2445.8839999999996</v>
      </c>
      <c r="K128" s="45">
        <f t="shared" ref="K128:N128" si="481">+K114*K130</f>
        <v>3040.6997379999998</v>
      </c>
      <c r="L128" s="45">
        <f t="shared" si="481"/>
        <v>3777.2806819799998</v>
      </c>
      <c r="M128" s="45">
        <f t="shared" si="481"/>
        <v>4697.5628126515994</v>
      </c>
      <c r="N128" s="45">
        <f t="shared" si="481"/>
        <v>5833.9525830261036</v>
      </c>
    </row>
    <row r="129" spans="1:14" x14ac:dyDescent="0.3">
      <c r="A129" s="43" t="s">
        <v>128</v>
      </c>
      <c r="B129" s="44" t="str">
        <f t="shared" ref="B129" si="482">+IFERROR(B128/A128-1,"nm")</f>
        <v>nm</v>
      </c>
      <c r="C129" s="44" t="str">
        <f t="shared" ref="C129" si="483">+IFERROR(C128/B128-1,"nm")</f>
        <v>nm</v>
      </c>
      <c r="D129" s="44" t="str">
        <f t="shared" ref="D129" si="484">+IFERROR(D128/C128-1,"nm")</f>
        <v>nm</v>
      </c>
      <c r="E129" s="44">
        <f t="shared" ref="E129" si="485">+IFERROR(E128/D128-1,"nm")</f>
        <v>0.26938775510204072</v>
      </c>
      <c r="F129" s="44">
        <f t="shared" ref="F129" si="486">+IFERROR(F128/E128-1,"nm")</f>
        <v>0.10610932475884249</v>
      </c>
      <c r="G129" s="44">
        <f t="shared" ref="G129" si="487">+IFERROR(G128/F128-1,"nm")</f>
        <v>-0.10610465116279066</v>
      </c>
      <c r="H129" s="44">
        <f t="shared" ref="H129" si="488">+IFERROR(H128/G128-1,"nm")</f>
        <v>0.27886178861788613</v>
      </c>
      <c r="I129" s="44">
        <f>+IFERROR(I128/H128-1,"nm")</f>
        <v>0.23204068658614108</v>
      </c>
      <c r="J129" s="44">
        <f>+IFERROR(J128/I128-1,"nm")</f>
        <v>0.2620660474716201</v>
      </c>
      <c r="K129" s="44">
        <f t="shared" ref="K129" si="489">+IFERROR(K128/J128-1,"nm")</f>
        <v>0.24319049390731551</v>
      </c>
      <c r="L129" s="44">
        <f>+IFERROR(L128/K128-1,"nm")</f>
        <v>0.24224060494196675</v>
      </c>
      <c r="M129" s="44">
        <f t="shared" ref="M129" si="490">+IFERROR(M128/L128-1,"nm")</f>
        <v>0.24363615207678979</v>
      </c>
      <c r="N129" s="44">
        <f t="shared" ref="N129" si="491">+IFERROR(N128/M128-1,"nm")</f>
        <v>0.24191050033731321</v>
      </c>
    </row>
    <row r="130" spans="1:14" x14ac:dyDescent="0.3">
      <c r="A130" s="43" t="s">
        <v>130</v>
      </c>
      <c r="B130" s="44" t="str">
        <f t="shared" ref="B130:H130" si="492">+IFERROR(B128/B$114,"nm")</f>
        <v>nm</v>
      </c>
      <c r="C130" s="44" t="str">
        <f t="shared" si="492"/>
        <v>nm</v>
      </c>
      <c r="D130" s="44">
        <f t="shared" si="492"/>
        <v>0.20688199282246147</v>
      </c>
      <c r="E130" s="44">
        <f t="shared" si="492"/>
        <v>0.2408052651955091</v>
      </c>
      <c r="F130" s="44">
        <f t="shared" si="492"/>
        <v>0.26189569851541683</v>
      </c>
      <c r="G130" s="44">
        <f t="shared" si="492"/>
        <v>0.24463007159904535</v>
      </c>
      <c r="H130" s="44">
        <f t="shared" si="492"/>
        <v>0.2944038929440389</v>
      </c>
      <c r="I130" s="44">
        <f>+IFERROR(I128/I$114,"nm")</f>
        <v>0.32544080604534004</v>
      </c>
      <c r="J130" s="46">
        <f>Assumptions!B32</f>
        <v>0.35</v>
      </c>
      <c r="K130" s="46">
        <f>Assumptions!C32</f>
        <v>0.37</v>
      </c>
      <c r="L130" s="46">
        <f>Assumptions!D32</f>
        <v>0.39</v>
      </c>
      <c r="M130" s="46">
        <f>Assumptions!E32</f>
        <v>0.41</v>
      </c>
      <c r="N130" s="46">
        <f>Assumptions!F32</f>
        <v>0.43</v>
      </c>
    </row>
    <row r="131" spans="1:14" x14ac:dyDescent="0.3">
      <c r="A131" s="9" t="s">
        <v>131</v>
      </c>
      <c r="B131" s="9">
        <f>Historicals!B174</f>
        <v>0</v>
      </c>
      <c r="C131" s="9">
        <f>Historicals!C174</f>
        <v>0</v>
      </c>
      <c r="D131" s="9">
        <f>Historicals!D174</f>
        <v>0</v>
      </c>
      <c r="E131" s="9">
        <f>Historicals!E174</f>
        <v>55</v>
      </c>
      <c r="F131" s="9">
        <f>Historicals!F174</f>
        <v>53</v>
      </c>
      <c r="G131" s="9">
        <f>Historicals!G174</f>
        <v>46</v>
      </c>
      <c r="H131" s="9">
        <f>Historicals!H174</f>
        <v>43</v>
      </c>
      <c r="I131" s="9">
        <f>Historicals!I174</f>
        <v>42</v>
      </c>
      <c r="J131" s="49">
        <f>+J134*J141</f>
        <v>43.327087999999996</v>
      </c>
      <c r="K131" s="45">
        <f t="shared" ref="K131:N131" si="493">+K134*K141</f>
        <v>50.952265879999999</v>
      </c>
      <c r="L131" s="45">
        <f t="shared" si="493"/>
        <v>60.049077508400003</v>
      </c>
      <c r="M131" s="45">
        <f t="shared" si="493"/>
        <v>71.036315703511988</v>
      </c>
      <c r="N131" s="45">
        <f t="shared" si="493"/>
        <v>84.117455848283356</v>
      </c>
    </row>
    <row r="132" spans="1:14" x14ac:dyDescent="0.3">
      <c r="A132" s="43" t="s">
        <v>128</v>
      </c>
      <c r="B132" s="44" t="str">
        <f t="shared" ref="B132" si="494">+IFERROR(B131/A131-1,"nm")</f>
        <v>nm</v>
      </c>
      <c r="C132" s="44" t="str">
        <f t="shared" ref="C132" si="495">+IFERROR(C131/B131-1,"nm")</f>
        <v>nm</v>
      </c>
      <c r="D132" s="44" t="str">
        <f t="shared" ref="D132" si="496">+IFERROR(D131/C131-1,"nm")</f>
        <v>nm</v>
      </c>
      <c r="E132" s="44" t="str">
        <f t="shared" ref="E132" si="497">+IFERROR(E131/D131-1,"nm")</f>
        <v>nm</v>
      </c>
      <c r="F132" s="44">
        <f t="shared" ref="F132" si="498">+IFERROR(F131/E131-1,"nm")</f>
        <v>-3.6363636363636376E-2</v>
      </c>
      <c r="G132" s="44">
        <f t="shared" ref="G132" si="499">+IFERROR(G131/F131-1,"nm")</f>
        <v>-0.13207547169811318</v>
      </c>
      <c r="H132" s="44">
        <f t="shared" ref="H132" si="500">+IFERROR(H131/G131-1,"nm")</f>
        <v>-6.5217391304347783E-2</v>
      </c>
      <c r="I132" s="44">
        <f>+IFERROR(I131/H131-1,"nm")</f>
        <v>-2.3255813953488413E-2</v>
      </c>
      <c r="J132" s="44">
        <f>+IFERROR(J131/I131-1,"nm")</f>
        <v>3.1597333333333255E-2</v>
      </c>
      <c r="K132" s="44">
        <f t="shared" ref="K132" si="501">+IFERROR(K131/J131-1,"nm")</f>
        <v>0.17599100775016319</v>
      </c>
      <c r="L132" s="44">
        <f t="shared" ref="L132" si="502">+IFERROR(L131/K131-1,"nm")</f>
        <v>0.17853595853468662</v>
      </c>
      <c r="M132" s="44">
        <f t="shared" ref="M132" si="503">+IFERROR(M131/L131-1,"nm")</f>
        <v>0.18297097392670225</v>
      </c>
      <c r="N132" s="44">
        <f t="shared" ref="N132" si="504">+IFERROR(N131/M131-1,"nm")</f>
        <v>0.18414722125185667</v>
      </c>
    </row>
    <row r="133" spans="1:14" x14ac:dyDescent="0.3">
      <c r="A133" s="43" t="s">
        <v>132</v>
      </c>
      <c r="B133" s="44">
        <f>+IFERROR(B131/B$83,"nm")</f>
        <v>0</v>
      </c>
      <c r="C133" s="44">
        <f t="shared" ref="C133:I133" si="505">+IFERROR(C131/C$83,"nm")</f>
        <v>0</v>
      </c>
      <c r="D133" s="44">
        <f t="shared" si="505"/>
        <v>0</v>
      </c>
      <c r="E133" s="44">
        <f t="shared" si="505"/>
        <v>1.0712894429294897E-2</v>
      </c>
      <c r="F133" s="44">
        <f t="shared" si="505"/>
        <v>8.5373711340206177E-3</v>
      </c>
      <c r="G133" s="44">
        <f t="shared" si="505"/>
        <v>6.8872585716424611E-3</v>
      </c>
      <c r="H133" s="44">
        <f t="shared" si="505"/>
        <v>5.1869722557297947E-3</v>
      </c>
      <c r="I133" s="44">
        <f t="shared" si="505"/>
        <v>5.5651252153173444E-3</v>
      </c>
      <c r="J133" s="44">
        <f>+IFERROR(J131/J$21,"nm")</f>
        <v>2.2140854323418825E-3</v>
      </c>
      <c r="K133" s="44">
        <f t="shared" ref="K133:N133" si="506">+IFERROR(K131/K$21,"nm")</f>
        <v>2.4372625577674966E-3</v>
      </c>
      <c r="L133" s="44">
        <f t="shared" si="506"/>
        <v>2.6392403737121729E-3</v>
      </c>
      <c r="M133" s="44">
        <f t="shared" si="506"/>
        <v>2.8303007086926519E-3</v>
      </c>
      <c r="N133" s="44">
        <f t="shared" si="506"/>
        <v>3.1191137612651856E-3</v>
      </c>
    </row>
    <row r="134" spans="1:14" x14ac:dyDescent="0.3">
      <c r="A134" s="43" t="s">
        <v>139</v>
      </c>
      <c r="B134" s="44" t="str">
        <f t="shared" ref="B134:H134" si="507">+IFERROR(B131/B141,"nm")</f>
        <v>nm</v>
      </c>
      <c r="C134" s="44" t="str">
        <f t="shared" si="507"/>
        <v>nm</v>
      </c>
      <c r="D134" s="44" t="str">
        <f t="shared" si="507"/>
        <v>nm</v>
      </c>
      <c r="E134" s="44">
        <f t="shared" si="507"/>
        <v>0.16224188790560473</v>
      </c>
      <c r="F134" s="44">
        <f t="shared" si="507"/>
        <v>0.16257668711656442</v>
      </c>
      <c r="G134" s="44">
        <f t="shared" si="507"/>
        <v>0.1554054054054054</v>
      </c>
      <c r="H134" s="44">
        <f t="shared" si="507"/>
        <v>0.14144736842105263</v>
      </c>
      <c r="I134" s="44">
        <f>+IFERROR(I131/I141,"nm")</f>
        <v>0.15328467153284672</v>
      </c>
      <c r="J134" s="46">
        <f>Assumptions!B33</f>
        <v>0.155</v>
      </c>
      <c r="K134" s="46">
        <f>Assumptions!C33</f>
        <v>0.155</v>
      </c>
      <c r="L134" s="46">
        <f>Assumptions!D33</f>
        <v>0.155</v>
      </c>
      <c r="M134" s="46">
        <f>Assumptions!E33</f>
        <v>0.155</v>
      </c>
      <c r="N134" s="46">
        <f>Assumptions!F33</f>
        <v>0.155</v>
      </c>
    </row>
    <row r="135" spans="1:14" x14ac:dyDescent="0.3">
      <c r="A135" s="9" t="s">
        <v>133</v>
      </c>
      <c r="B135" s="9">
        <f>Historicals!B141</f>
        <v>0</v>
      </c>
      <c r="C135" s="9">
        <f>Historicals!C141</f>
        <v>0</v>
      </c>
      <c r="D135" s="9">
        <f>Historicals!D141</f>
        <v>980</v>
      </c>
      <c r="E135" s="9">
        <f>Historicals!E141</f>
        <v>1189</v>
      </c>
      <c r="F135" s="9">
        <f>Historicals!F141</f>
        <v>1323</v>
      </c>
      <c r="G135" s="9">
        <f>Historicals!G141</f>
        <v>1184</v>
      </c>
      <c r="H135" s="9">
        <f>Historicals!H141</f>
        <v>1530</v>
      </c>
      <c r="I135" s="9">
        <f>Historicals!I141</f>
        <v>1896</v>
      </c>
      <c r="J135" s="9">
        <f>+J128-J131</f>
        <v>2402.5569119999996</v>
      </c>
      <c r="K135" s="9">
        <f t="shared" ref="K135:N135" si="508">+K128-K131</f>
        <v>2989.7474721199997</v>
      </c>
      <c r="L135" s="9">
        <f t="shared" si="508"/>
        <v>3717.2316044715999</v>
      </c>
      <c r="M135" s="9">
        <f t="shared" si="508"/>
        <v>4626.5264969480877</v>
      </c>
      <c r="N135" s="9">
        <f t="shared" si="508"/>
        <v>5749.8351271778201</v>
      </c>
    </row>
    <row r="136" spans="1:14" x14ac:dyDescent="0.3">
      <c r="A136" s="43" t="s">
        <v>128</v>
      </c>
      <c r="B136" s="44" t="str">
        <f t="shared" ref="B136" si="509">+IFERROR(B135/A135-1,"nm")</f>
        <v>nm</v>
      </c>
      <c r="C136" s="44" t="str">
        <f t="shared" ref="C136" si="510">+IFERROR(C135/B135-1,"nm")</f>
        <v>nm</v>
      </c>
      <c r="D136" s="44" t="str">
        <f t="shared" ref="D136" si="511">+IFERROR(D135/C135-1,"nm")</f>
        <v>nm</v>
      </c>
      <c r="E136" s="44">
        <f t="shared" ref="E136" si="512">+IFERROR(E135/D135-1,"nm")</f>
        <v>0.21326530612244898</v>
      </c>
      <c r="F136" s="44">
        <f t="shared" ref="F136" si="513">+IFERROR(F135/E135-1,"nm")</f>
        <v>0.11269974768713209</v>
      </c>
      <c r="G136" s="44">
        <f t="shared" ref="G136" si="514">+IFERROR(G135/F135-1,"nm")</f>
        <v>-0.1050642479213908</v>
      </c>
      <c r="H136" s="44">
        <f t="shared" ref="H136" si="515">+IFERROR(H135/G135-1,"nm")</f>
        <v>0.29222972972972983</v>
      </c>
      <c r="I136" s="44">
        <f>+IFERROR(I135/H135-1,"nm")</f>
        <v>0.23921568627450984</v>
      </c>
      <c r="J136" s="44">
        <f>+IFERROR(J135/I135-1,"nm")</f>
        <v>0.26717136708860734</v>
      </c>
      <c r="K136" s="44">
        <f t="shared" ref="K136" si="516">+IFERROR(K135/J135-1,"nm")</f>
        <v>0.24440235200555382</v>
      </c>
      <c r="L136" s="44">
        <f t="shared" ref="L136" si="517">+IFERROR(L135/K135-1,"nm")</f>
        <v>0.24332628060916073</v>
      </c>
      <c r="M136" s="44">
        <f t="shared" ref="M136" si="518">+IFERROR(M135/L135-1,"nm")</f>
        <v>0.24461615234914658</v>
      </c>
      <c r="N136" s="44">
        <f t="shared" ref="N136" si="519">+IFERROR(N135/M135-1,"nm")</f>
        <v>0.24279740556348894</v>
      </c>
    </row>
    <row r="137" spans="1:14" x14ac:dyDescent="0.3">
      <c r="A137" s="43" t="s">
        <v>130</v>
      </c>
      <c r="B137" s="44">
        <f>+IFERROR(B135/B$83,"nm")</f>
        <v>0</v>
      </c>
      <c r="C137" s="44">
        <f t="shared" ref="C137:H137" si="520">+IFERROR(C135/C$83,"nm")</f>
        <v>0</v>
      </c>
      <c r="D137" s="44">
        <f t="shared" si="520"/>
        <v>0.23129572810951143</v>
      </c>
      <c r="E137" s="44">
        <f t="shared" si="520"/>
        <v>0.23159329957148422</v>
      </c>
      <c r="F137" s="44">
        <f t="shared" si="520"/>
        <v>0.21311211340206185</v>
      </c>
      <c r="G137" s="44">
        <f t="shared" si="520"/>
        <v>0.17727204671357988</v>
      </c>
      <c r="H137" s="44">
        <f t="shared" si="520"/>
        <v>0.18455971049457176</v>
      </c>
      <c r="I137" s="44">
        <f>+IFERROR(I135/I$83,"nm")</f>
        <v>0.25122565257718299</v>
      </c>
      <c r="J137" s="44">
        <f>+IFERROR(J135/J$52,"nm")</f>
        <v>0.17049410625948691</v>
      </c>
      <c r="K137" s="44">
        <f t="shared" ref="K137:N137" si="521">+IFERROR(K135/K$52,"nm")</f>
        <v>0.18769830821701097</v>
      </c>
      <c r="L137" s="44">
        <f t="shared" si="521"/>
        <v>0.20621054276104875</v>
      </c>
      <c r="M137" s="44">
        <f t="shared" si="521"/>
        <v>0.22439200878568175</v>
      </c>
      <c r="N137" s="44">
        <f t="shared" si="521"/>
        <v>0.24477430000945996</v>
      </c>
    </row>
    <row r="138" spans="1:14" x14ac:dyDescent="0.3">
      <c r="A138" s="9" t="s">
        <v>134</v>
      </c>
      <c r="B138" s="9">
        <f>Historicals!B163</f>
        <v>0</v>
      </c>
      <c r="C138" s="9">
        <f>Historicals!C163</f>
        <v>0</v>
      </c>
      <c r="D138" s="9">
        <f>Historicals!D163</f>
        <v>0</v>
      </c>
      <c r="E138" s="9">
        <f>Historicals!E163</f>
        <v>49</v>
      </c>
      <c r="F138" s="9">
        <f>Historicals!F163</f>
        <v>47</v>
      </c>
      <c r="G138" s="9">
        <f>Historicals!G163</f>
        <v>41</v>
      </c>
      <c r="H138" s="9">
        <f>Historicals!H163</f>
        <v>54</v>
      </c>
      <c r="I138" s="9">
        <f>Historicals!I163</f>
        <v>56</v>
      </c>
      <c r="J138" s="45">
        <f>+J114*J140</f>
        <v>76.87063999999998</v>
      </c>
      <c r="K138" s="45">
        <f t="shared" ref="K138:N138" si="522">+K114*K140</f>
        <v>90.399181399999989</v>
      </c>
      <c r="L138" s="45">
        <f t="shared" si="522"/>
        <v>106.53868590199998</v>
      </c>
      <c r="M138" s="45">
        <f t="shared" si="522"/>
        <v>126.03217302235997</v>
      </c>
      <c r="N138" s="45">
        <f t="shared" si="522"/>
        <v>149.24064747276077</v>
      </c>
    </row>
    <row r="139" spans="1:14" x14ac:dyDescent="0.3">
      <c r="A139" s="43" t="s">
        <v>128</v>
      </c>
      <c r="B139" s="44" t="str">
        <f t="shared" ref="B139" si="523">+IFERROR(B138/A138-1,"nm")</f>
        <v>nm</v>
      </c>
      <c r="C139" s="44" t="str">
        <f t="shared" ref="C139" si="524">+IFERROR(C138/B138-1,"nm")</f>
        <v>nm</v>
      </c>
      <c r="D139" s="44" t="str">
        <f t="shared" ref="D139" si="525">+IFERROR(D138/C138-1,"nm")</f>
        <v>nm</v>
      </c>
      <c r="E139" s="44" t="str">
        <f t="shared" ref="E139" si="526">+IFERROR(E138/D138-1,"nm")</f>
        <v>nm</v>
      </c>
      <c r="F139" s="44">
        <f t="shared" ref="F139" si="527">+IFERROR(F138/E138-1,"nm")</f>
        <v>-4.081632653061229E-2</v>
      </c>
      <c r="G139" s="44">
        <f t="shared" ref="G139" si="528">+IFERROR(G138/F138-1,"nm")</f>
        <v>-0.12765957446808507</v>
      </c>
      <c r="H139" s="44">
        <f t="shared" ref="H139" si="529">+IFERROR(H138/G138-1,"nm")</f>
        <v>0.31707317073170738</v>
      </c>
      <c r="I139" s="44">
        <f>+IFERROR(I138/H138-1,"nm")</f>
        <v>3.7037037037036979E-2</v>
      </c>
      <c r="J139" s="44">
        <f>+IFERROR(J138/I138-1,"nm")</f>
        <v>0.37268999999999974</v>
      </c>
      <c r="K139" s="44">
        <f t="shared" ref="K139" si="530">+IFERROR(K138/J138-1,"nm")</f>
        <v>0.17599100775016319</v>
      </c>
      <c r="L139" s="44">
        <f t="shared" ref="L139" si="531">+IFERROR(L138/K138-1,"nm")</f>
        <v>0.1785359585346864</v>
      </c>
      <c r="M139" s="44">
        <f t="shared" ref="M139" si="532">+IFERROR(M138/L138-1,"nm")</f>
        <v>0.18297097392670247</v>
      </c>
      <c r="N139" s="44">
        <f t="shared" ref="N139" si="533">+IFERROR(N138/M138-1,"nm")</f>
        <v>0.18414722125185667</v>
      </c>
    </row>
    <row r="140" spans="1:14" x14ac:dyDescent="0.3">
      <c r="A140" s="43" t="s">
        <v>132</v>
      </c>
      <c r="B140" s="44" t="str">
        <f t="shared" ref="B140:H140" si="534">+IFERROR(B138/B$114,"nm")</f>
        <v>nm</v>
      </c>
      <c r="C140" s="44" t="str">
        <f t="shared" si="534"/>
        <v>nm</v>
      </c>
      <c r="D140" s="44">
        <f t="shared" si="534"/>
        <v>0</v>
      </c>
      <c r="E140" s="44">
        <f t="shared" si="534"/>
        <v>9.485094850948509E-3</v>
      </c>
      <c r="F140" s="44">
        <f t="shared" si="534"/>
        <v>8.9455652835934533E-3</v>
      </c>
      <c r="G140" s="44">
        <f t="shared" si="534"/>
        <v>8.1543357199681775E-3</v>
      </c>
      <c r="H140" s="44">
        <f t="shared" si="534"/>
        <v>1.0106681639528355E-2</v>
      </c>
      <c r="I140" s="44">
        <f>+IFERROR(I138/I$114,"nm")</f>
        <v>9.4038623005877411E-3</v>
      </c>
      <c r="J140" s="46">
        <f>Assumptions!B35</f>
        <v>1.0999999999999999E-2</v>
      </c>
      <c r="K140" s="46">
        <f>Assumptions!C35</f>
        <v>1.0999999999999999E-2</v>
      </c>
      <c r="L140" s="46">
        <f>Assumptions!D35</f>
        <v>1.0999999999999999E-2</v>
      </c>
      <c r="M140" s="46">
        <f>Assumptions!E35</f>
        <v>1.0999999999999999E-2</v>
      </c>
      <c r="N140" s="46">
        <f>Assumptions!F35</f>
        <v>1.0999999999999999E-2</v>
      </c>
    </row>
    <row r="141" spans="1:14" x14ac:dyDescent="0.3">
      <c r="A141" s="9" t="s">
        <v>140</v>
      </c>
      <c r="B141" s="9">
        <f>Historicals!B152</f>
        <v>0</v>
      </c>
      <c r="C141" s="9">
        <f>Historicals!C152</f>
        <v>0</v>
      </c>
      <c r="D141" s="9">
        <f>Historicals!D152</f>
        <v>0</v>
      </c>
      <c r="E141" s="9">
        <f>Historicals!E152</f>
        <v>339</v>
      </c>
      <c r="F141" s="9">
        <f>Historicals!F152</f>
        <v>326</v>
      </c>
      <c r="G141" s="9">
        <f>Historicals!G152</f>
        <v>296</v>
      </c>
      <c r="H141" s="9">
        <f>Historicals!H152</f>
        <v>304</v>
      </c>
      <c r="I141" s="9">
        <f>Historicals!I152</f>
        <v>274</v>
      </c>
      <c r="J141" s="45">
        <f>+J114*J143</f>
        <v>279.52959999999996</v>
      </c>
      <c r="K141" s="45">
        <f t="shared" ref="K141:N141" si="535">+K114*K143</f>
        <v>328.72429599999998</v>
      </c>
      <c r="L141" s="45">
        <f t="shared" si="535"/>
        <v>387.41340328000001</v>
      </c>
      <c r="M141" s="45">
        <f t="shared" si="535"/>
        <v>458.29881099039994</v>
      </c>
      <c r="N141" s="45">
        <f t="shared" si="535"/>
        <v>542.69326353731196</v>
      </c>
    </row>
    <row r="142" spans="1:14" x14ac:dyDescent="0.3">
      <c r="A142" s="43" t="s">
        <v>128</v>
      </c>
      <c r="B142" s="44" t="str">
        <f t="shared" ref="B142" si="536">+IFERROR(B141/A141-1,"nm")</f>
        <v>nm</v>
      </c>
      <c r="C142" s="44" t="str">
        <f t="shared" ref="C142" si="537">+IFERROR(C141/B141-1,"nm")</f>
        <v>nm</v>
      </c>
      <c r="D142" s="44" t="str">
        <f t="shared" ref="D142" si="538">+IFERROR(D141/C141-1,"nm")</f>
        <v>nm</v>
      </c>
      <c r="E142" s="44" t="str">
        <f t="shared" ref="E142" si="539">+IFERROR(E141/D141-1,"nm")</f>
        <v>nm</v>
      </c>
      <c r="F142" s="44">
        <f t="shared" ref="F142" si="540">+IFERROR(F141/E141-1,"nm")</f>
        <v>-3.8348082595870192E-2</v>
      </c>
      <c r="G142" s="44">
        <f t="shared" ref="G142" si="541">+IFERROR(G141/F141-1,"nm")</f>
        <v>-9.2024539877300637E-2</v>
      </c>
      <c r="H142" s="44">
        <f t="shared" ref="H142" si="542">+IFERROR(H141/G141-1,"nm")</f>
        <v>2.7027027027026973E-2</v>
      </c>
      <c r="I142" s="44">
        <f>+IFERROR(I141/H141-1,"nm")</f>
        <v>-9.8684210526315819E-2</v>
      </c>
      <c r="J142" s="44">
        <f>+J143+J144</f>
        <v>0.04</v>
      </c>
      <c r="K142" s="44">
        <f t="shared" ref="K142:N142" si="543">+K143+K144</f>
        <v>0.04</v>
      </c>
      <c r="L142" s="44">
        <f t="shared" si="543"/>
        <v>0.04</v>
      </c>
      <c r="M142" s="44">
        <f t="shared" si="543"/>
        <v>0.04</v>
      </c>
      <c r="N142" s="44">
        <f t="shared" si="543"/>
        <v>0.04</v>
      </c>
    </row>
    <row r="143" spans="1:14" x14ac:dyDescent="0.3">
      <c r="A143" s="43" t="s">
        <v>132</v>
      </c>
      <c r="B143" s="44" t="str">
        <f t="shared" ref="B143:H143" si="544">+IFERROR(B141/B$114,"nm")</f>
        <v>nm</v>
      </c>
      <c r="C143" s="44" t="str">
        <f t="shared" si="544"/>
        <v>nm</v>
      </c>
      <c r="D143" s="44">
        <f t="shared" si="544"/>
        <v>0</v>
      </c>
      <c r="E143" s="44">
        <f t="shared" si="544"/>
        <v>6.5621370499419282E-2</v>
      </c>
      <c r="F143" s="44">
        <f t="shared" si="544"/>
        <v>6.2047963456414161E-2</v>
      </c>
      <c r="G143" s="44">
        <f t="shared" si="544"/>
        <v>5.88703261734288E-2</v>
      </c>
      <c r="H143" s="44">
        <f t="shared" si="544"/>
        <v>5.6896874415122589E-2</v>
      </c>
      <c r="I143" s="44">
        <f>+IFERROR(I141/I$114,"nm")</f>
        <v>4.6011754827875735E-2</v>
      </c>
      <c r="J143" s="46">
        <f>Assumptions!B34</f>
        <v>0.04</v>
      </c>
      <c r="K143" s="46">
        <f>Assumptions!C34</f>
        <v>0.04</v>
      </c>
      <c r="L143" s="46">
        <f>Assumptions!D34</f>
        <v>0.04</v>
      </c>
      <c r="M143" s="46">
        <f>Assumptions!E34</f>
        <v>0.04</v>
      </c>
      <c r="N143" s="46">
        <f>Assumptions!F34</f>
        <v>0.04</v>
      </c>
    </row>
    <row r="144" spans="1:14" x14ac:dyDescent="0.3">
      <c r="A144" s="41" t="str">
        <f>Historicals!A129</f>
        <v>Converse</v>
      </c>
      <c r="B144" s="41"/>
      <c r="C144" s="41"/>
      <c r="D144" s="41"/>
      <c r="E144" s="41"/>
      <c r="F144" s="41"/>
      <c r="G144" s="41"/>
      <c r="H144" s="41"/>
      <c r="I144" s="41"/>
      <c r="J144" s="37"/>
      <c r="K144" s="37"/>
      <c r="L144" s="37"/>
      <c r="M144" s="37"/>
      <c r="N144" s="37"/>
    </row>
    <row r="145" spans="1:14" x14ac:dyDescent="0.3">
      <c r="A145" s="9" t="s">
        <v>135</v>
      </c>
      <c r="B145" s="9">
        <f>Historicals!B129</f>
        <v>1982</v>
      </c>
      <c r="C145" s="9">
        <f>Historicals!C129</f>
        <v>1955</v>
      </c>
      <c r="D145" s="9">
        <f>Historicals!D129</f>
        <v>2042</v>
      </c>
      <c r="E145" s="9">
        <f>+SUM(E147+E151+E155+E159)</f>
        <v>1886</v>
      </c>
      <c r="F145" s="9">
        <f t="shared" ref="F145:H145" si="545">+SUM(F147+F151+F155+F159)</f>
        <v>1906</v>
      </c>
      <c r="G145" s="9">
        <f>+SUM(G147+G151+G155+G159)</f>
        <v>1846</v>
      </c>
      <c r="H145" s="9">
        <f t="shared" si="545"/>
        <v>2205</v>
      </c>
      <c r="I145" s="9">
        <f>+SUM(I147+I151+I155+I159)</f>
        <v>2346</v>
      </c>
      <c r="J145" s="9">
        <f>+SUM(J147+J151+J155+J159)</f>
        <v>2503.39</v>
      </c>
      <c r="K145" s="9">
        <f t="shared" ref="K145:N145" si="546">+SUM(K147+K151+K155+K159)</f>
        <v>2684.1436999999996</v>
      </c>
      <c r="L145" s="9">
        <f t="shared" si="546"/>
        <v>2891.0212390000002</v>
      </c>
      <c r="M145" s="9">
        <f t="shared" si="546"/>
        <v>3141.68407213</v>
      </c>
      <c r="N145" s="9">
        <f t="shared" si="546"/>
        <v>3444.9759348356001</v>
      </c>
    </row>
    <row r="146" spans="1:14" x14ac:dyDescent="0.3">
      <c r="A146" s="42" t="s">
        <v>128</v>
      </c>
      <c r="B146" s="44" t="str">
        <f t="shared" ref="B146" si="547">+IFERROR(B145/A145-1,"nm")</f>
        <v>nm</v>
      </c>
      <c r="C146" s="44">
        <f t="shared" ref="C146" si="548">+IFERROR(C145/B145-1,"nm")</f>
        <v>-1.3622603430877955E-2</v>
      </c>
      <c r="D146" s="44">
        <f t="shared" ref="D146" si="549">+IFERROR(D145/C145-1,"nm")</f>
        <v>4.4501278772378416E-2</v>
      </c>
      <c r="E146" s="44">
        <f t="shared" ref="E146" si="550">+IFERROR(E145/D145-1,"nm")</f>
        <v>-7.6395690499510338E-2</v>
      </c>
      <c r="F146" s="44">
        <f t="shared" ref="F146" si="551">+IFERROR(F145/E145-1,"nm")</f>
        <v>1.0604453870625585E-2</v>
      </c>
      <c r="G146" s="44">
        <f t="shared" ref="G146" si="552">+IFERROR(G145/F145-1,"nm")</f>
        <v>-3.147953830010497E-2</v>
      </c>
      <c r="H146" s="44">
        <f t="shared" ref="H146" si="553">+IFERROR(H145/G145-1,"nm")</f>
        <v>0.19447453954496208</v>
      </c>
      <c r="I146" s="44">
        <f>+IFERROR(I145/H145-1,"nm")</f>
        <v>6.3945578231292544E-2</v>
      </c>
      <c r="J146" s="44">
        <f>+IFERROR(J145/I145-1,"nm")</f>
        <v>6.7088661551577111E-2</v>
      </c>
      <c r="K146" s="44">
        <f t="shared" ref="K146" si="554">+IFERROR(K145/J145-1,"nm")</f>
        <v>7.2203571956426904E-2</v>
      </c>
      <c r="L146" s="44">
        <f t="shared" ref="L146" si="555">+IFERROR(L145/K145-1,"nm")</f>
        <v>7.7073943172267789E-2</v>
      </c>
      <c r="M146" s="44">
        <f t="shared" ref="M146" si="556">+IFERROR(M145/L145-1,"nm")</f>
        <v>8.6703905785453061E-2</v>
      </c>
      <c r="N146" s="44">
        <f t="shared" ref="N146" si="557">+IFERROR(N145/M145-1,"nm")</f>
        <v>9.6537989098303578E-2</v>
      </c>
    </row>
    <row r="147" spans="1:14" x14ac:dyDescent="0.3">
      <c r="A147" s="48" t="s">
        <v>112</v>
      </c>
      <c r="B147" s="9">
        <f>Historicals!B130</f>
        <v>0</v>
      </c>
      <c r="C147" s="9">
        <f>Historicals!C130</f>
        <v>0</v>
      </c>
      <c r="D147" s="9">
        <f>Historicals!D130</f>
        <v>0</v>
      </c>
      <c r="E147" s="9">
        <f>Historicals!E130</f>
        <v>1611</v>
      </c>
      <c r="F147" s="9">
        <f>Historicals!F130</f>
        <v>1658</v>
      </c>
      <c r="G147" s="9">
        <f>Historicals!G130</f>
        <v>1642</v>
      </c>
      <c r="H147" s="9">
        <f>Historicals!H130</f>
        <v>1986</v>
      </c>
      <c r="I147" s="9">
        <f>Historicals!I130</f>
        <v>2094</v>
      </c>
      <c r="J147" s="9">
        <f>+I147*(1+J148)</f>
        <v>2240.58</v>
      </c>
      <c r="K147" s="9">
        <f t="shared" ref="K147" si="558">+J147*(1+K148)</f>
        <v>2408.6234999999997</v>
      </c>
      <c r="L147" s="9">
        <f t="shared" ref="L147" si="559">+K147*(1+L148)</f>
        <v>2601.3133800000001</v>
      </c>
      <c r="M147" s="9">
        <f t="shared" ref="M147" si="560">+L147*(1+M148)</f>
        <v>2835.4315842000001</v>
      </c>
      <c r="N147" s="9">
        <f t="shared" ref="N147" si="561">+M147*(1+N148)</f>
        <v>3118.9747426200001</v>
      </c>
    </row>
    <row r="148" spans="1:14" x14ac:dyDescent="0.3">
      <c r="A148" s="42" t="s">
        <v>128</v>
      </c>
      <c r="B148" s="44" t="str">
        <f t="shared" ref="B148" si="562">+IFERROR(B147/A147-1,"nm")</f>
        <v>nm</v>
      </c>
      <c r="C148" s="44" t="str">
        <f t="shared" ref="C148" si="563">+IFERROR(C147/B147-1,"nm")</f>
        <v>nm</v>
      </c>
      <c r="D148" s="44" t="str">
        <f t="shared" ref="D148" si="564">+IFERROR(D147/C147-1,"nm")</f>
        <v>nm</v>
      </c>
      <c r="E148" s="44" t="str">
        <f t="shared" ref="E148" si="565">+IFERROR(E147/D147-1,"nm")</f>
        <v>nm</v>
      </c>
      <c r="F148" s="44">
        <f t="shared" ref="F148" si="566">+IFERROR(F147/E147-1,"nm")</f>
        <v>2.9174425822470429E-2</v>
      </c>
      <c r="G148" s="44">
        <f t="shared" ref="G148" si="567">+IFERROR(G147/F147-1,"nm")</f>
        <v>-9.6501809408926498E-3</v>
      </c>
      <c r="H148" s="44">
        <f t="shared" ref="H148" si="568">+IFERROR(H147/G147-1,"nm")</f>
        <v>0.2095006090133984</v>
      </c>
      <c r="I148" s="44">
        <f>+IFERROR(I147/H147-1,"nm")</f>
        <v>5.4380664652567967E-2</v>
      </c>
      <c r="J148" s="44">
        <f>+J149+J150</f>
        <v>7.0000000000000007E-2</v>
      </c>
      <c r="K148" s="44">
        <f t="shared" ref="K148:N148" si="569">+K149+K150</f>
        <v>7.4999999999999997E-2</v>
      </c>
      <c r="L148" s="44">
        <f t="shared" si="569"/>
        <v>0.08</v>
      </c>
      <c r="M148" s="44">
        <f t="shared" si="569"/>
        <v>0.09</v>
      </c>
      <c r="N148" s="44">
        <f t="shared" si="569"/>
        <v>0.1</v>
      </c>
    </row>
    <row r="149" spans="1:14" x14ac:dyDescent="0.3">
      <c r="A149" s="42" t="s">
        <v>136</v>
      </c>
      <c r="B149" s="44">
        <f>Historicals!B202</f>
        <v>0</v>
      </c>
      <c r="C149" s="44">
        <f>Historicals!C202</f>
        <v>0</v>
      </c>
      <c r="D149" s="44">
        <f>Historicals!D202</f>
        <v>0</v>
      </c>
      <c r="E149" s="44">
        <f>Historicals!E202</f>
        <v>0</v>
      </c>
      <c r="F149" s="44">
        <f>Historicals!F202</f>
        <v>0.05</v>
      </c>
      <c r="G149" s="44">
        <f>Historicals!G202</f>
        <v>0.01</v>
      </c>
      <c r="H149" s="44">
        <f>Historicals!H202</f>
        <v>0.17</v>
      </c>
      <c r="I149" s="44">
        <f>Historicals!I202</f>
        <v>0.06</v>
      </c>
      <c r="J149" s="46">
        <f>Assumptions!B42</f>
        <v>7.0000000000000007E-2</v>
      </c>
      <c r="K149" s="46">
        <f>Assumptions!C42</f>
        <v>7.4999999999999997E-2</v>
      </c>
      <c r="L149" s="46">
        <f>Assumptions!D42</f>
        <v>0.08</v>
      </c>
      <c r="M149" s="46">
        <f>Assumptions!E42</f>
        <v>0.09</v>
      </c>
      <c r="N149" s="46">
        <f>Assumptions!F42</f>
        <v>0.1</v>
      </c>
    </row>
    <row r="150" spans="1:14" x14ac:dyDescent="0.3">
      <c r="A150" s="42" t="s">
        <v>137</v>
      </c>
      <c r="B150" s="44" t="str">
        <f>+IFERROR(B148-B149,"nm")</f>
        <v>nm</v>
      </c>
      <c r="C150" s="44" t="str">
        <f t="shared" ref="C150:H150" si="570">+IFERROR(C148-C149,"nm")</f>
        <v>nm</v>
      </c>
      <c r="D150" s="44" t="str">
        <f t="shared" si="570"/>
        <v>nm</v>
      </c>
      <c r="E150" s="44" t="str">
        <f t="shared" si="570"/>
        <v>nm</v>
      </c>
      <c r="F150" s="44">
        <f t="shared" si="570"/>
        <v>-2.0825574177529574E-2</v>
      </c>
      <c r="G150" s="44">
        <f t="shared" si="570"/>
        <v>-1.9650180940892652E-2</v>
      </c>
      <c r="H150" s="44">
        <f t="shared" si="570"/>
        <v>3.9500609013398386E-2</v>
      </c>
      <c r="I150" s="44">
        <f>+IFERROR(I148-I149,"nm")</f>
        <v>-5.6193353474320307E-3</v>
      </c>
      <c r="J150" s="46">
        <v>0</v>
      </c>
      <c r="K150" s="46">
        <f t="shared" ref="K150" si="571">+J150</f>
        <v>0</v>
      </c>
      <c r="L150" s="46">
        <f t="shared" ref="L150" si="572">+K150</f>
        <v>0</v>
      </c>
      <c r="M150" s="46">
        <f t="shared" ref="M150" si="573">+L150</f>
        <v>0</v>
      </c>
      <c r="N150" s="46">
        <f t="shared" ref="N150" si="574">+M150</f>
        <v>0</v>
      </c>
    </row>
    <row r="151" spans="1:14" x14ac:dyDescent="0.3">
      <c r="A151" s="48" t="s">
        <v>113</v>
      </c>
      <c r="B151" s="9">
        <f>Historicals!B131</f>
        <v>0</v>
      </c>
      <c r="C151" s="9">
        <f>Historicals!C131</f>
        <v>0</v>
      </c>
      <c r="D151" s="9">
        <f>Historicals!D131</f>
        <v>0</v>
      </c>
      <c r="E151" s="9">
        <f>Historicals!E131</f>
        <v>144</v>
      </c>
      <c r="F151" s="9">
        <f>Historicals!F131</f>
        <v>118</v>
      </c>
      <c r="G151" s="9">
        <f>Historicals!G131</f>
        <v>89</v>
      </c>
      <c r="H151" s="9">
        <f>Historicals!H131</f>
        <v>104</v>
      </c>
      <c r="I151" s="9">
        <f>Historicals!I131</f>
        <v>103</v>
      </c>
      <c r="J151" s="9">
        <f>+I151*(1+J152)</f>
        <v>105.06</v>
      </c>
      <c r="K151" s="9">
        <f t="shared" ref="K151" si="575">+J151*(1+K152)</f>
        <v>107.16120000000001</v>
      </c>
      <c r="L151" s="9">
        <f t="shared" ref="L151" si="576">+K151*(1+L152)</f>
        <v>109.30442400000001</v>
      </c>
      <c r="M151" s="9">
        <f t="shared" ref="M151" si="577">+L151*(1+M152)</f>
        <v>111.49051248000001</v>
      </c>
      <c r="N151" s="9">
        <f t="shared" ref="N151" si="578">+M151*(1+N152)</f>
        <v>113.72032272960001</v>
      </c>
    </row>
    <row r="152" spans="1:14" x14ac:dyDescent="0.3">
      <c r="A152" s="42" t="s">
        <v>128</v>
      </c>
      <c r="B152" s="44" t="str">
        <f t="shared" ref="B152" si="579">+IFERROR(B151/A151-1,"nm")</f>
        <v>nm</v>
      </c>
      <c r="C152" s="44" t="str">
        <f t="shared" ref="C152" si="580">+IFERROR(C151/B151-1,"nm")</f>
        <v>nm</v>
      </c>
      <c r="D152" s="44" t="str">
        <f t="shared" ref="D152" si="581">+IFERROR(D151/C151-1,"nm")</f>
        <v>nm</v>
      </c>
      <c r="E152" s="44" t="str">
        <f t="shared" ref="E152" si="582">+IFERROR(E151/D151-1,"nm")</f>
        <v>nm</v>
      </c>
      <c r="F152" s="44">
        <f t="shared" ref="F152" si="583">+IFERROR(F151/E151-1,"nm")</f>
        <v>-0.18055555555555558</v>
      </c>
      <c r="G152" s="44">
        <f t="shared" ref="G152" si="584">+IFERROR(G151/F151-1,"nm")</f>
        <v>-0.24576271186440679</v>
      </c>
      <c r="H152" s="44">
        <f t="shared" ref="H152" si="585">+IFERROR(H151/G151-1,"nm")</f>
        <v>0.1685393258426966</v>
      </c>
      <c r="I152" s="44">
        <f>+IFERROR(I151/H151-1,"nm")</f>
        <v>-9.6153846153845812E-3</v>
      </c>
      <c r="J152" s="44">
        <f>+J153+J154</f>
        <v>0.02</v>
      </c>
      <c r="K152" s="44">
        <f t="shared" ref="K152:N152" si="586">+K153+K154</f>
        <v>0.02</v>
      </c>
      <c r="L152" s="44">
        <f t="shared" si="586"/>
        <v>0.02</v>
      </c>
      <c r="M152" s="44">
        <f t="shared" si="586"/>
        <v>0.02</v>
      </c>
      <c r="N152" s="44">
        <f t="shared" si="586"/>
        <v>0.02</v>
      </c>
    </row>
    <row r="153" spans="1:14" x14ac:dyDescent="0.3">
      <c r="A153" s="42" t="s">
        <v>136</v>
      </c>
      <c r="B153" s="44">
        <f>Historicals!B203</f>
        <v>0</v>
      </c>
      <c r="C153" s="44">
        <f>Historicals!C203</f>
        <v>0</v>
      </c>
      <c r="D153" s="44">
        <f>Historicals!D203</f>
        <v>0</v>
      </c>
      <c r="E153" s="44">
        <f>Historicals!E203</f>
        <v>0</v>
      </c>
      <c r="F153" s="44">
        <f>Historicals!F203</f>
        <v>-0.17</v>
      </c>
      <c r="G153" s="44">
        <f>Historicals!G203</f>
        <v>-0.22</v>
      </c>
      <c r="H153" s="44">
        <f>Historicals!H203</f>
        <v>0.13</v>
      </c>
      <c r="I153" s="44">
        <f>Historicals!I203</f>
        <v>-0.03</v>
      </c>
      <c r="J153" s="46">
        <f>Assumptions!B43</f>
        <v>0.02</v>
      </c>
      <c r="K153" s="46">
        <f>Assumptions!C43</f>
        <v>0.02</v>
      </c>
      <c r="L153" s="46">
        <f>Assumptions!D43</f>
        <v>0.02</v>
      </c>
      <c r="M153" s="46">
        <f>Assumptions!E43</f>
        <v>0.02</v>
      </c>
      <c r="N153" s="46">
        <f>Assumptions!F43</f>
        <v>0.02</v>
      </c>
    </row>
    <row r="154" spans="1:14" x14ac:dyDescent="0.3">
      <c r="A154" s="42" t="s">
        <v>137</v>
      </c>
      <c r="B154" s="44" t="str">
        <f>+IFERROR(B152-B153,"nm")</f>
        <v>nm</v>
      </c>
      <c r="C154" s="44" t="str">
        <f t="shared" ref="C154:H154" si="587">+IFERROR(C152-C153,"nm")</f>
        <v>nm</v>
      </c>
      <c r="D154" s="44" t="str">
        <f t="shared" si="587"/>
        <v>nm</v>
      </c>
      <c r="E154" s="44" t="str">
        <f t="shared" si="587"/>
        <v>nm</v>
      </c>
      <c r="F154" s="44">
        <f t="shared" si="587"/>
        <v>-1.0555555555555568E-2</v>
      </c>
      <c r="G154" s="44">
        <f t="shared" si="587"/>
        <v>-2.576271186440679E-2</v>
      </c>
      <c r="H154" s="44">
        <f t="shared" si="587"/>
        <v>3.8539325842696592E-2</v>
      </c>
      <c r="I154" s="44">
        <f>+IFERROR(I152-I153,"nm")</f>
        <v>2.0384615384615418E-2</v>
      </c>
      <c r="J154" s="46">
        <v>0</v>
      </c>
      <c r="K154" s="46">
        <f t="shared" ref="K154" si="588">+J154</f>
        <v>0</v>
      </c>
      <c r="L154" s="46">
        <f t="shared" ref="L154" si="589">+K154</f>
        <v>0</v>
      </c>
      <c r="M154" s="46">
        <f t="shared" ref="M154" si="590">+L154</f>
        <v>0</v>
      </c>
      <c r="N154" s="46">
        <f t="shared" ref="N154" si="591">+M154</f>
        <v>0</v>
      </c>
    </row>
    <row r="155" spans="1:14" x14ac:dyDescent="0.3">
      <c r="A155" s="48" t="s">
        <v>114</v>
      </c>
      <c r="B155" s="9">
        <f>Historicals!B132</f>
        <v>0</v>
      </c>
      <c r="C155" s="9">
        <f>Historicals!C132</f>
        <v>0</v>
      </c>
      <c r="D155" s="9">
        <f>Historicals!D132</f>
        <v>0</v>
      </c>
      <c r="E155" s="9">
        <f>Historicals!E132</f>
        <v>28</v>
      </c>
      <c r="F155" s="9">
        <f>Historicals!F132</f>
        <v>24</v>
      </c>
      <c r="G155" s="9">
        <f>Historicals!G132</f>
        <v>25</v>
      </c>
      <c r="H155" s="9">
        <f>Historicals!H132</f>
        <v>29</v>
      </c>
      <c r="I155" s="9">
        <f>Historicals!I132</f>
        <v>26</v>
      </c>
      <c r="J155" s="9">
        <f>+I155*(1+J156)</f>
        <v>28.6</v>
      </c>
      <c r="K155" s="9">
        <f t="shared" ref="K155" si="592">+J155*(1+K156)</f>
        <v>31.460000000000004</v>
      </c>
      <c r="L155" s="9">
        <f t="shared" ref="L155" si="593">+K155*(1+L156)</f>
        <v>34.606000000000009</v>
      </c>
      <c r="M155" s="9">
        <f t="shared" ref="M155" si="594">+L155*(1+M156)</f>
        <v>38.758720000000011</v>
      </c>
      <c r="N155" s="9">
        <f t="shared" ref="N155" si="595">+M155*(1+N156)</f>
        <v>43.797353600000008</v>
      </c>
    </row>
    <row r="156" spans="1:14" x14ac:dyDescent="0.3">
      <c r="A156" s="42" t="s">
        <v>128</v>
      </c>
      <c r="B156" s="44" t="str">
        <f t="shared" ref="B156" si="596">+IFERROR(B155/A155-1,"nm")</f>
        <v>nm</v>
      </c>
      <c r="C156" s="44" t="str">
        <f t="shared" ref="C156" si="597">+IFERROR(C155/B155-1,"nm")</f>
        <v>nm</v>
      </c>
      <c r="D156" s="44" t="str">
        <f t="shared" ref="D156" si="598">+IFERROR(D155/C155-1,"nm")</f>
        <v>nm</v>
      </c>
      <c r="E156" s="44" t="str">
        <f t="shared" ref="E156" si="599">+IFERROR(E155/D155-1,"nm")</f>
        <v>nm</v>
      </c>
      <c r="F156" s="44">
        <f t="shared" ref="F156" si="600">+IFERROR(F155/E155-1,"nm")</f>
        <v>-0.1428571428571429</v>
      </c>
      <c r="G156" s="44">
        <f t="shared" ref="G156" si="601">+IFERROR(G155/F155-1,"nm")</f>
        <v>4.1666666666666741E-2</v>
      </c>
      <c r="H156" s="44">
        <f t="shared" ref="H156" si="602">+IFERROR(H155/G155-1,"nm")</f>
        <v>0.15999999999999992</v>
      </c>
      <c r="I156" s="44">
        <f>+IFERROR(I155/H155-1,"nm")</f>
        <v>-0.10344827586206895</v>
      </c>
      <c r="J156" s="44">
        <f>+J157+J158</f>
        <v>0.1</v>
      </c>
      <c r="K156" s="44">
        <f t="shared" ref="K156:N156" si="603">+K157+K158</f>
        <v>0.1</v>
      </c>
      <c r="L156" s="44">
        <f t="shared" si="603"/>
        <v>0.1</v>
      </c>
      <c r="M156" s="44">
        <f t="shared" si="603"/>
        <v>0.12</v>
      </c>
      <c r="N156" s="44">
        <f t="shared" si="603"/>
        <v>0.13</v>
      </c>
    </row>
    <row r="157" spans="1:14" x14ac:dyDescent="0.3">
      <c r="A157" s="42" t="s">
        <v>136</v>
      </c>
      <c r="B157" s="44">
        <f>Historicals!B204</f>
        <v>0</v>
      </c>
      <c r="C157" s="44">
        <f>Historicals!C204</f>
        <v>0</v>
      </c>
      <c r="D157" s="44">
        <f>Historicals!D204</f>
        <v>0</v>
      </c>
      <c r="E157" s="44">
        <f>Historicals!E204</f>
        <v>0</v>
      </c>
      <c r="F157" s="44">
        <f>Historicals!F204</f>
        <v>-0.13</v>
      </c>
      <c r="G157" s="44">
        <f>Historicals!G204</f>
        <v>0.08</v>
      </c>
      <c r="H157" s="44">
        <f>Historicals!H204</f>
        <v>0.14000000000000001</v>
      </c>
      <c r="I157" s="44">
        <f>Historicals!I204</f>
        <v>-0.16</v>
      </c>
      <c r="J157" s="46">
        <f>Assumptions!B44</f>
        <v>0.1</v>
      </c>
      <c r="K157" s="46">
        <f>Assumptions!C44</f>
        <v>0.1</v>
      </c>
      <c r="L157" s="46">
        <f>Assumptions!D44</f>
        <v>0.1</v>
      </c>
      <c r="M157" s="46">
        <f>Assumptions!E44</f>
        <v>0.12</v>
      </c>
      <c r="N157" s="46">
        <f>Assumptions!F44</f>
        <v>0.13</v>
      </c>
    </row>
    <row r="158" spans="1:14" x14ac:dyDescent="0.3">
      <c r="A158" s="42" t="s">
        <v>137</v>
      </c>
      <c r="B158" s="44" t="str">
        <f t="shared" ref="B158:H158" si="604">+IFERROR(B156-B157,"nm")</f>
        <v>nm</v>
      </c>
      <c r="C158" s="44" t="str">
        <f t="shared" si="604"/>
        <v>nm</v>
      </c>
      <c r="D158" s="44" t="str">
        <f t="shared" si="604"/>
        <v>nm</v>
      </c>
      <c r="E158" s="44" t="str">
        <f t="shared" si="604"/>
        <v>nm</v>
      </c>
      <c r="F158" s="44">
        <f t="shared" si="604"/>
        <v>-1.28571428571429E-2</v>
      </c>
      <c r="G158" s="44">
        <f t="shared" si="604"/>
        <v>-3.8333333333333261E-2</v>
      </c>
      <c r="H158" s="44">
        <f t="shared" si="604"/>
        <v>1.9999999999999907E-2</v>
      </c>
      <c r="I158" s="44">
        <f>+IFERROR(I156-I157,"nm")</f>
        <v>5.6551724137931053E-2</v>
      </c>
      <c r="J158" s="46">
        <v>0</v>
      </c>
      <c r="K158" s="46">
        <f t="shared" ref="K158" si="605">+J158</f>
        <v>0</v>
      </c>
      <c r="L158" s="46">
        <f t="shared" ref="L158" si="606">+K158</f>
        <v>0</v>
      </c>
      <c r="M158" s="46">
        <f t="shared" ref="M158" si="607">+L158</f>
        <v>0</v>
      </c>
      <c r="N158" s="46">
        <f t="shared" ref="N158" si="608">+M158</f>
        <v>0</v>
      </c>
    </row>
    <row r="159" spans="1:14" x14ac:dyDescent="0.3">
      <c r="A159" s="48" t="s">
        <v>144</v>
      </c>
      <c r="B159" s="9">
        <f>Historicals!B133</f>
        <v>0</v>
      </c>
      <c r="C159" s="9">
        <f>Historicals!C133</f>
        <v>0</v>
      </c>
      <c r="D159" s="9">
        <f>Historicals!D133</f>
        <v>0</v>
      </c>
      <c r="E159" s="9">
        <f>Historicals!E133</f>
        <v>103</v>
      </c>
      <c r="F159" s="9">
        <f>Historicals!F133</f>
        <v>106</v>
      </c>
      <c r="G159" s="9">
        <f>Historicals!G133</f>
        <v>90</v>
      </c>
      <c r="H159" s="9">
        <f>Historicals!H133</f>
        <v>86</v>
      </c>
      <c r="I159" s="9">
        <f>Historicals!I133</f>
        <v>123</v>
      </c>
      <c r="J159" s="9">
        <f>+I159*(1+J160)</f>
        <v>129.15</v>
      </c>
      <c r="K159" s="9">
        <f t="shared" ref="K159" si="609">+J159*(1+K160)</f>
        <v>136.899</v>
      </c>
      <c r="L159" s="9">
        <f t="shared" ref="L159" si="610">+K159*(1+L160)</f>
        <v>145.79743500000001</v>
      </c>
      <c r="M159" s="9">
        <f t="shared" ref="M159" si="611">+L159*(1+M160)</f>
        <v>156.00325545000001</v>
      </c>
      <c r="N159" s="9">
        <f t="shared" ref="N159" si="612">+M159*(1+N160)</f>
        <v>168.48351588600002</v>
      </c>
    </row>
    <row r="160" spans="1:14" x14ac:dyDescent="0.3">
      <c r="A160" s="42" t="s">
        <v>128</v>
      </c>
      <c r="B160" s="44" t="str">
        <f t="shared" ref="B160" si="613">+IFERROR(B159/A159-1,"nm")</f>
        <v>nm</v>
      </c>
      <c r="C160" s="44" t="str">
        <f t="shared" ref="C160" si="614">+IFERROR(C159/B159-1,"nm")</f>
        <v>nm</v>
      </c>
      <c r="D160" s="44" t="str">
        <f t="shared" ref="D160" si="615">+IFERROR(D159/C159-1,"nm")</f>
        <v>nm</v>
      </c>
      <c r="E160" s="44" t="str">
        <f t="shared" ref="E160" si="616">+IFERROR(E159/D159-1,"nm")</f>
        <v>nm</v>
      </c>
      <c r="F160" s="44">
        <f t="shared" ref="F160" si="617">+IFERROR(F159/E159-1,"nm")</f>
        <v>2.9126213592232997E-2</v>
      </c>
      <c r="G160" s="44">
        <f t="shared" ref="G160" si="618">+IFERROR(G159/F159-1,"nm")</f>
        <v>-0.15094339622641506</v>
      </c>
      <c r="H160" s="44">
        <f t="shared" ref="H160" si="619">+IFERROR(H159/G159-1,"nm")</f>
        <v>-4.4444444444444398E-2</v>
      </c>
      <c r="I160" s="44">
        <f>+IFERROR(I159/H159-1,"nm")</f>
        <v>0.43023255813953498</v>
      </c>
      <c r="J160" s="44">
        <f>+J161+J162</f>
        <v>0.05</v>
      </c>
      <c r="K160" s="44">
        <f t="shared" ref="K160:N160" si="620">+K161+K162</f>
        <v>0.06</v>
      </c>
      <c r="L160" s="44">
        <f t="shared" si="620"/>
        <v>6.5000000000000002E-2</v>
      </c>
      <c r="M160" s="44">
        <f t="shared" si="620"/>
        <v>7.0000000000000007E-2</v>
      </c>
      <c r="N160" s="44">
        <f t="shared" si="620"/>
        <v>0.08</v>
      </c>
    </row>
    <row r="161" spans="1:14" x14ac:dyDescent="0.3">
      <c r="A161" s="42" t="s">
        <v>136</v>
      </c>
      <c r="B161" s="44">
        <f>Historicals!B205</f>
        <v>0</v>
      </c>
      <c r="C161" s="44">
        <f>Historicals!C205</f>
        <v>0</v>
      </c>
      <c r="D161" s="44">
        <f>Historicals!D205</f>
        <v>0</v>
      </c>
      <c r="E161" s="44">
        <f>Historicals!E205</f>
        <v>0</v>
      </c>
      <c r="F161" s="44">
        <f>Historicals!F205</f>
        <v>0.04</v>
      </c>
      <c r="G161" s="44">
        <f>Historicals!G205</f>
        <v>-0.14000000000000001</v>
      </c>
      <c r="H161" s="44">
        <f>Historicals!H205</f>
        <v>-0.01</v>
      </c>
      <c r="I161" s="44">
        <f>Historicals!I205</f>
        <v>0.42</v>
      </c>
      <c r="J161" s="46">
        <f>Assumptions!B45</f>
        <v>0.05</v>
      </c>
      <c r="K161" s="46">
        <f>Assumptions!C45</f>
        <v>0.06</v>
      </c>
      <c r="L161" s="46">
        <f>Assumptions!D45</f>
        <v>6.5000000000000002E-2</v>
      </c>
      <c r="M161" s="46">
        <f>Assumptions!E45</f>
        <v>7.0000000000000007E-2</v>
      </c>
      <c r="N161" s="46">
        <f>Assumptions!F45</f>
        <v>0.08</v>
      </c>
    </row>
    <row r="162" spans="1:14" x14ac:dyDescent="0.3">
      <c r="A162" s="42" t="s">
        <v>137</v>
      </c>
      <c r="B162" s="44" t="str">
        <f t="shared" ref="B162:H162" si="621">+IFERROR(B160-B161,"nm")</f>
        <v>nm</v>
      </c>
      <c r="C162" s="44" t="str">
        <f t="shared" si="621"/>
        <v>nm</v>
      </c>
      <c r="D162" s="44" t="str">
        <f t="shared" si="621"/>
        <v>nm</v>
      </c>
      <c r="E162" s="44" t="str">
        <f t="shared" si="621"/>
        <v>nm</v>
      </c>
      <c r="F162" s="44">
        <f t="shared" si="621"/>
        <v>-1.0873786407767004E-2</v>
      </c>
      <c r="G162" s="44">
        <f t="shared" si="621"/>
        <v>-1.0943396226415048E-2</v>
      </c>
      <c r="H162" s="44">
        <f t="shared" si="621"/>
        <v>-3.4444444444444396E-2</v>
      </c>
      <c r="I162" s="44">
        <f>+IFERROR(I160-I161,"nm")</f>
        <v>1.0232558139534997E-2</v>
      </c>
      <c r="J162" s="46">
        <v>0</v>
      </c>
      <c r="K162" s="46">
        <f t="shared" ref="K162" si="622">+J162</f>
        <v>0</v>
      </c>
      <c r="L162" s="46">
        <f t="shared" ref="L162" si="623">+K162</f>
        <v>0</v>
      </c>
      <c r="M162" s="46">
        <f t="shared" ref="M162" si="624">+L162</f>
        <v>0</v>
      </c>
      <c r="N162" s="46">
        <f t="shared" ref="N162" si="625">+M162</f>
        <v>0</v>
      </c>
    </row>
    <row r="163" spans="1:14" x14ac:dyDescent="0.3">
      <c r="A163" s="9" t="s">
        <v>129</v>
      </c>
      <c r="B163" s="45">
        <f>+B170+B166</f>
        <v>535</v>
      </c>
      <c r="C163" s="45">
        <f t="shared" ref="C163:H163" si="626">+C170+C166</f>
        <v>514</v>
      </c>
      <c r="D163" s="45">
        <f t="shared" si="626"/>
        <v>505</v>
      </c>
      <c r="E163" s="45">
        <f t="shared" si="626"/>
        <v>343</v>
      </c>
      <c r="F163" s="45">
        <f t="shared" si="626"/>
        <v>334</v>
      </c>
      <c r="G163" s="45">
        <f t="shared" si="626"/>
        <v>322</v>
      </c>
      <c r="H163" s="45">
        <f t="shared" si="626"/>
        <v>569</v>
      </c>
      <c r="I163" s="45">
        <f>+I170+I166</f>
        <v>691</v>
      </c>
      <c r="J163" s="45">
        <f>+J145*J165</f>
        <v>751.01699999999994</v>
      </c>
      <c r="K163" s="45">
        <f>+K145*K165</f>
        <v>805.24310999999989</v>
      </c>
      <c r="L163" s="45">
        <f>+L145*L165</f>
        <v>867.3063717</v>
      </c>
      <c r="M163" s="45">
        <f>+M145*M165</f>
        <v>942.50522163899996</v>
      </c>
      <c r="N163" s="45">
        <f>+N145*N165</f>
        <v>1033.4927804506799</v>
      </c>
    </row>
    <row r="164" spans="1:14" x14ac:dyDescent="0.3">
      <c r="A164" s="43" t="s">
        <v>128</v>
      </c>
      <c r="B164" s="44" t="str">
        <f t="shared" ref="B164" si="627">+IFERROR(B163/A163-1,"nm")</f>
        <v>nm</v>
      </c>
      <c r="C164" s="44">
        <f t="shared" ref="C164" si="628">+IFERROR(C163/B163-1,"nm")</f>
        <v>-3.9252336448598157E-2</v>
      </c>
      <c r="D164" s="44">
        <f t="shared" ref="D164" si="629">+IFERROR(D163/C163-1,"nm")</f>
        <v>-1.7509727626459193E-2</v>
      </c>
      <c r="E164" s="44">
        <f t="shared" ref="E164" si="630">+IFERROR(E163/D163-1,"nm")</f>
        <v>-0.32079207920792074</v>
      </c>
      <c r="F164" s="44">
        <f t="shared" ref="F164" si="631">+IFERROR(F163/E163-1,"nm")</f>
        <v>-2.6239067055393583E-2</v>
      </c>
      <c r="G164" s="44">
        <f t="shared" ref="G164" si="632">+IFERROR(G163/F163-1,"nm")</f>
        <v>-3.59281437125748E-2</v>
      </c>
      <c r="H164" s="44">
        <f t="shared" ref="H164" si="633">+IFERROR(H163/G163-1,"nm")</f>
        <v>0.76708074534161486</v>
      </c>
      <c r="I164" s="44">
        <f>+IFERROR(I163/H163-1,"nm")</f>
        <v>0.21441124780316345</v>
      </c>
      <c r="J164" s="44">
        <f>+IFERROR(J163/I163-1,"nm")</f>
        <v>8.6855282199710393E-2</v>
      </c>
      <c r="K164" s="44">
        <f t="shared" ref="K164" si="634">+IFERROR(K163/J163-1,"nm")</f>
        <v>7.2203571956427126E-2</v>
      </c>
      <c r="L164" s="44">
        <f>+IFERROR(L163/K163-1,"nm")</f>
        <v>7.7073943172267789E-2</v>
      </c>
      <c r="M164" s="44">
        <f t="shared" ref="M164" si="635">+IFERROR(M163/L163-1,"nm")</f>
        <v>8.6703905785453061E-2</v>
      </c>
      <c r="N164" s="44">
        <f t="shared" ref="N164" si="636">+IFERROR(N163/M163-1,"nm")</f>
        <v>9.6537989098303578E-2</v>
      </c>
    </row>
    <row r="165" spans="1:14" x14ac:dyDescent="0.3">
      <c r="A165" s="43" t="s">
        <v>130</v>
      </c>
      <c r="B165" s="44">
        <f t="shared" ref="B165:H165" si="637">+IFERROR(B163/B$145,"nm")</f>
        <v>0.26992936427850656</v>
      </c>
      <c r="C165" s="44">
        <f t="shared" si="637"/>
        <v>0.26291560102301792</v>
      </c>
      <c r="D165" s="44">
        <f t="shared" si="637"/>
        <v>0.24730656219392752</v>
      </c>
      <c r="E165" s="44">
        <f t="shared" si="637"/>
        <v>0.18186638388123011</v>
      </c>
      <c r="F165" s="44">
        <f t="shared" si="637"/>
        <v>0.17523609653725078</v>
      </c>
      <c r="G165" s="44">
        <f t="shared" si="637"/>
        <v>0.17443120260021669</v>
      </c>
      <c r="H165" s="44">
        <f t="shared" si="637"/>
        <v>0.25804988662131517</v>
      </c>
      <c r="I165" s="44">
        <f>+IFERROR(I163/I$145,"nm")</f>
        <v>0.29454390451832907</v>
      </c>
      <c r="J165" s="46">
        <f>Assumptions!B46</f>
        <v>0.3</v>
      </c>
      <c r="K165" s="46">
        <f>Assumptions!C46</f>
        <v>0.3</v>
      </c>
      <c r="L165" s="46">
        <f>Assumptions!D46</f>
        <v>0.3</v>
      </c>
      <c r="M165" s="46">
        <f>Assumptions!E46</f>
        <v>0.3</v>
      </c>
      <c r="N165" s="46">
        <f>Assumptions!F46</f>
        <v>0.3</v>
      </c>
    </row>
    <row r="166" spans="1:14" x14ac:dyDescent="0.3">
      <c r="A166" s="9" t="s">
        <v>131</v>
      </c>
      <c r="B166" s="9">
        <f>Historicals!B177</f>
        <v>18</v>
      </c>
      <c r="C166" s="9">
        <f>Historicals!C177</f>
        <v>27</v>
      </c>
      <c r="D166" s="9">
        <f>Historicals!D177</f>
        <v>28</v>
      </c>
      <c r="E166" s="9">
        <f>Historicals!E177</f>
        <v>33</v>
      </c>
      <c r="F166" s="9">
        <f>Historicals!F177</f>
        <v>31</v>
      </c>
      <c r="G166" s="9">
        <f>Historicals!G177</f>
        <v>25</v>
      </c>
      <c r="H166" s="9">
        <f>Historicals!H177</f>
        <v>26</v>
      </c>
      <c r="I166" s="9">
        <f>Historicals!I177</f>
        <v>22</v>
      </c>
      <c r="J166" s="49">
        <f>+J169*J176</f>
        <v>22.53051</v>
      </c>
      <c r="K166" s="45">
        <f t="shared" ref="K166:N166" si="638">+K169*K176</f>
        <v>24.157293299999996</v>
      </c>
      <c r="L166" s="45">
        <f t="shared" si="638"/>
        <v>26.019191151000001</v>
      </c>
      <c r="M166" s="45">
        <f t="shared" si="638"/>
        <v>28.27515664917</v>
      </c>
      <c r="N166" s="45">
        <f t="shared" si="638"/>
        <v>31.004783413520403</v>
      </c>
    </row>
    <row r="167" spans="1:14" x14ac:dyDescent="0.3">
      <c r="A167" s="43" t="s">
        <v>128</v>
      </c>
      <c r="B167" s="44" t="str">
        <f t="shared" ref="B167" si="639">+IFERROR(B166/A166-1,"nm")</f>
        <v>nm</v>
      </c>
      <c r="C167" s="44">
        <f t="shared" ref="C167" si="640">+IFERROR(C166/B166-1,"nm")</f>
        <v>0.5</v>
      </c>
      <c r="D167" s="44">
        <f t="shared" ref="D167" si="641">+IFERROR(D166/C166-1,"nm")</f>
        <v>3.7037037037036979E-2</v>
      </c>
      <c r="E167" s="44">
        <f t="shared" ref="E167" si="642">+IFERROR(E166/D166-1,"nm")</f>
        <v>0.1785714285714286</v>
      </c>
      <c r="F167" s="44">
        <f t="shared" ref="F167" si="643">+IFERROR(F166/E166-1,"nm")</f>
        <v>-6.0606060606060552E-2</v>
      </c>
      <c r="G167" s="44">
        <f t="shared" ref="G167" si="644">+IFERROR(G166/F166-1,"nm")</f>
        <v>-0.19354838709677424</v>
      </c>
      <c r="H167" s="44">
        <f t="shared" ref="H167" si="645">+IFERROR(H166/G166-1,"nm")</f>
        <v>4.0000000000000036E-2</v>
      </c>
      <c r="I167" s="44">
        <f>+IFERROR(I166/H166-1,"nm")</f>
        <v>-0.15384615384615385</v>
      </c>
      <c r="J167" s="44">
        <f>+IFERROR(J166/I166-1,"nm")</f>
        <v>2.4114090909090891E-2</v>
      </c>
      <c r="K167" s="44">
        <f t="shared" ref="K167" si="646">+IFERROR(K166/J166-1,"nm")</f>
        <v>7.2203571956426904E-2</v>
      </c>
      <c r="L167" s="44">
        <f t="shared" ref="L167" si="647">+IFERROR(L166/K166-1,"nm")</f>
        <v>7.7073943172267789E-2</v>
      </c>
      <c r="M167" s="44">
        <f t="shared" ref="M167" si="648">+IFERROR(M166/L166-1,"nm")</f>
        <v>8.6703905785453061E-2</v>
      </c>
      <c r="N167" s="44">
        <f t="shared" ref="N167" si="649">+IFERROR(N166/M166-1,"nm")</f>
        <v>9.65379890983038E-2</v>
      </c>
    </row>
    <row r="168" spans="1:14" x14ac:dyDescent="0.3">
      <c r="A168" s="43" t="s">
        <v>132</v>
      </c>
      <c r="B168" s="44">
        <f>+IFERROR(B166/B$83,"nm")</f>
        <v>5.8689272905119005E-3</v>
      </c>
      <c r="C168" s="44">
        <f t="shared" ref="C168:I168" si="650">+IFERROR(C166/C$83,"nm")</f>
        <v>7.1334214002642012E-3</v>
      </c>
      <c r="D168" s="44">
        <f t="shared" si="650"/>
        <v>6.6084493745574699E-3</v>
      </c>
      <c r="E168" s="44">
        <f t="shared" si="650"/>
        <v>6.4277366575769381E-3</v>
      </c>
      <c r="F168" s="44">
        <f t="shared" si="650"/>
        <v>4.9935567010309274E-3</v>
      </c>
      <c r="G168" s="44">
        <f t="shared" si="650"/>
        <v>3.7430753106752509E-3</v>
      </c>
      <c r="H168" s="44">
        <f t="shared" si="650"/>
        <v>3.1363088057901087E-3</v>
      </c>
      <c r="I168" s="44">
        <f t="shared" si="650"/>
        <v>2.915065588975752E-3</v>
      </c>
      <c r="J168" s="44">
        <f>+IFERROR(J166/J$21,"nm")</f>
        <v>1.1513461041792864E-3</v>
      </c>
      <c r="K168" s="44">
        <f t="shared" ref="K168:N168" si="651">+IFERROR(K166/K$21,"nm")</f>
        <v>1.1555455962599008E-3</v>
      </c>
      <c r="L168" s="44">
        <f t="shared" si="651"/>
        <v>1.1435795956640238E-3</v>
      </c>
      <c r="M168" s="44">
        <f t="shared" si="651"/>
        <v>1.1265673776854549E-3</v>
      </c>
      <c r="N168" s="44">
        <f t="shared" si="651"/>
        <v>1.1496715590707163E-3</v>
      </c>
    </row>
    <row r="169" spans="1:14" x14ac:dyDescent="0.3">
      <c r="A169" s="43" t="s">
        <v>139</v>
      </c>
      <c r="B169" s="44">
        <f t="shared" ref="B169:H169" si="652">+IFERROR(B166/B176,"nm")</f>
        <v>0.14754098360655737</v>
      </c>
      <c r="C169" s="44">
        <f t="shared" si="652"/>
        <v>0.216</v>
      </c>
      <c r="D169" s="44">
        <f t="shared" si="652"/>
        <v>0.224</v>
      </c>
      <c r="E169" s="44">
        <f t="shared" si="652"/>
        <v>0.28695652173913044</v>
      </c>
      <c r="F169" s="44">
        <f t="shared" si="652"/>
        <v>0.31</v>
      </c>
      <c r="G169" s="44">
        <f t="shared" si="652"/>
        <v>0.3125</v>
      </c>
      <c r="H169" s="44">
        <f t="shared" si="652"/>
        <v>0.41269841269841268</v>
      </c>
      <c r="I169" s="44">
        <f>+IFERROR(I166/I176,"nm")</f>
        <v>0.44897959183673469</v>
      </c>
      <c r="J169" s="46">
        <f>Assumptions!B47</f>
        <v>0.45</v>
      </c>
      <c r="K169" s="46">
        <f>Assumptions!C47</f>
        <v>0.45</v>
      </c>
      <c r="L169" s="46">
        <f>Assumptions!D47</f>
        <v>0.45</v>
      </c>
      <c r="M169" s="46">
        <f>Assumptions!E47</f>
        <v>0.45</v>
      </c>
      <c r="N169" s="46">
        <f>Assumptions!F47</f>
        <v>0.45</v>
      </c>
    </row>
    <row r="170" spans="1:14" x14ac:dyDescent="0.3">
      <c r="A170" s="9" t="s">
        <v>133</v>
      </c>
      <c r="B170" s="9">
        <f>Historicals!B144</f>
        <v>517</v>
      </c>
      <c r="C170" s="9">
        <f>Historicals!C144</f>
        <v>487</v>
      </c>
      <c r="D170" s="9">
        <f>Historicals!D144</f>
        <v>477</v>
      </c>
      <c r="E170" s="9">
        <f>Historicals!E144</f>
        <v>310</v>
      </c>
      <c r="F170" s="9">
        <f>Historicals!F144</f>
        <v>303</v>
      </c>
      <c r="G170" s="9">
        <f>Historicals!G144</f>
        <v>297</v>
      </c>
      <c r="H170" s="9">
        <f>Historicals!H144</f>
        <v>543</v>
      </c>
      <c r="I170" s="9">
        <f>Historicals!I144</f>
        <v>669</v>
      </c>
      <c r="J170" s="9">
        <f>+J163-J166</f>
        <v>728.48648999999989</v>
      </c>
      <c r="K170" s="9">
        <f t="shared" ref="K170:N170" si="653">+K163-K166</f>
        <v>781.0858166999999</v>
      </c>
      <c r="L170" s="9">
        <f t="shared" si="653"/>
        <v>841.28718054900003</v>
      </c>
      <c r="M170" s="9">
        <f t="shared" si="653"/>
        <v>914.23006498983</v>
      </c>
      <c r="N170" s="9">
        <f t="shared" si="653"/>
        <v>1002.4879970371595</v>
      </c>
    </row>
    <row r="171" spans="1:14" x14ac:dyDescent="0.3">
      <c r="A171" s="43" t="s">
        <v>128</v>
      </c>
      <c r="B171" s="44" t="str">
        <f t="shared" ref="B171" si="654">+IFERROR(B170/A170-1,"nm")</f>
        <v>nm</v>
      </c>
      <c r="C171" s="44">
        <f t="shared" ref="C171" si="655">+IFERROR(C170/B170-1,"nm")</f>
        <v>-5.8027079303675011E-2</v>
      </c>
      <c r="D171" s="44">
        <f t="shared" ref="D171" si="656">+IFERROR(D170/C170-1,"nm")</f>
        <v>-2.0533880903490731E-2</v>
      </c>
      <c r="E171" s="44">
        <f t="shared" ref="E171" si="657">+IFERROR(E170/D170-1,"nm")</f>
        <v>-0.35010482180293501</v>
      </c>
      <c r="F171" s="44">
        <f t="shared" ref="F171" si="658">+IFERROR(F170/E170-1,"nm")</f>
        <v>-2.2580645161290325E-2</v>
      </c>
      <c r="G171" s="44">
        <f t="shared" ref="G171" si="659">+IFERROR(G170/F170-1,"nm")</f>
        <v>-1.980198019801982E-2</v>
      </c>
      <c r="H171" s="44">
        <f t="shared" ref="H171" si="660">+IFERROR(H170/G170-1,"nm")</f>
        <v>0.82828282828282829</v>
      </c>
      <c r="I171" s="44">
        <f>+IFERROR(I170/H170-1,"nm")</f>
        <v>0.2320441988950277</v>
      </c>
      <c r="J171" s="44">
        <f>+IFERROR(J170/I170-1,"nm")</f>
        <v>8.8918520179372074E-2</v>
      </c>
      <c r="K171" s="44">
        <f t="shared" ref="K171" si="661">+IFERROR(K170/J170-1,"nm")</f>
        <v>7.2203571956427126E-2</v>
      </c>
      <c r="L171" s="44">
        <f t="shared" ref="L171" si="662">+IFERROR(L170/K170-1,"nm")</f>
        <v>7.7073943172267789E-2</v>
      </c>
      <c r="M171" s="44">
        <f t="shared" ref="M171" si="663">+IFERROR(M170/L170-1,"nm")</f>
        <v>8.6703905785453061E-2</v>
      </c>
      <c r="N171" s="44">
        <f t="shared" ref="N171" si="664">+IFERROR(N170/M170-1,"nm")</f>
        <v>9.6537989098303578E-2</v>
      </c>
    </row>
    <row r="172" spans="1:14" x14ac:dyDescent="0.3">
      <c r="A172" s="43" t="s">
        <v>130</v>
      </c>
      <c r="B172" s="44">
        <f>+IFERROR(B170/B$145,"nm")</f>
        <v>0.26084762865792127</v>
      </c>
      <c r="C172" s="44">
        <f t="shared" ref="C172:N172" si="665">+IFERROR(C170/C$145,"nm")</f>
        <v>0.24910485933503837</v>
      </c>
      <c r="D172" s="44">
        <f t="shared" si="665"/>
        <v>0.23359451518119489</v>
      </c>
      <c r="E172" s="44">
        <f t="shared" si="665"/>
        <v>0.16436903499469777</v>
      </c>
      <c r="F172" s="44">
        <f t="shared" si="665"/>
        <v>0.1589716684155299</v>
      </c>
      <c r="G172" s="44">
        <f t="shared" si="665"/>
        <v>0.16088840736728061</v>
      </c>
      <c r="H172" s="44">
        <f t="shared" si="665"/>
        <v>0.24625850340136055</v>
      </c>
      <c r="I172" s="44">
        <f t="shared" si="665"/>
        <v>0.28516624040920718</v>
      </c>
      <c r="J172" s="44">
        <f>+IFERROR(J170/J$145,"nm")</f>
        <v>0.29099999999999998</v>
      </c>
      <c r="K172" s="44">
        <f t="shared" si="665"/>
        <v>0.29099999999999998</v>
      </c>
      <c r="L172" s="44">
        <f t="shared" si="665"/>
        <v>0.29099999999999998</v>
      </c>
      <c r="M172" s="44">
        <f t="shared" si="665"/>
        <v>0.29099999999999998</v>
      </c>
      <c r="N172" s="44">
        <f t="shared" si="665"/>
        <v>0.29099999999999998</v>
      </c>
    </row>
    <row r="173" spans="1:14" x14ac:dyDescent="0.3">
      <c r="A173" s="9" t="s">
        <v>134</v>
      </c>
      <c r="B173" s="9">
        <f>Historicals!B166</f>
        <v>69</v>
      </c>
      <c r="C173" s="9">
        <f>Historicals!C166</f>
        <v>39</v>
      </c>
      <c r="D173" s="9">
        <f>Historicals!D166</f>
        <v>30</v>
      </c>
      <c r="E173" s="9">
        <f>Historicals!E166</f>
        <v>22</v>
      </c>
      <c r="F173" s="9">
        <f>Historicals!F166</f>
        <v>333</v>
      </c>
      <c r="G173" s="9">
        <f>Historicals!G166</f>
        <v>12</v>
      </c>
      <c r="H173" s="9">
        <f>Historicals!H166</f>
        <v>7</v>
      </c>
      <c r="I173" s="9">
        <f>Historicals!I166</f>
        <v>9</v>
      </c>
      <c r="J173" s="45">
        <f>+J145*J175</f>
        <v>12.51695</v>
      </c>
      <c r="K173" s="45">
        <f>+K145*K175</f>
        <v>13.420718499999998</v>
      </c>
      <c r="L173" s="45">
        <f>+L145*L175</f>
        <v>14.455106195000001</v>
      </c>
      <c r="M173" s="45">
        <f>+M145*M175</f>
        <v>15.708420360650001</v>
      </c>
      <c r="N173" s="45">
        <f>+N145*N175</f>
        <v>17.224879674178002</v>
      </c>
    </row>
    <row r="174" spans="1:14" x14ac:dyDescent="0.3">
      <c r="A174" s="43" t="s">
        <v>128</v>
      </c>
      <c r="B174" s="44" t="str">
        <f t="shared" ref="B174" si="666">+IFERROR(B173/A173-1,"nm")</f>
        <v>nm</v>
      </c>
      <c r="C174" s="44">
        <f t="shared" ref="C174" si="667">+IFERROR(C173/B173-1,"nm")</f>
        <v>-0.43478260869565222</v>
      </c>
      <c r="D174" s="44">
        <f t="shared" ref="D174" si="668">+IFERROR(D173/C173-1,"nm")</f>
        <v>-0.23076923076923073</v>
      </c>
      <c r="E174" s="44">
        <f t="shared" ref="E174" si="669">+IFERROR(E173/D173-1,"nm")</f>
        <v>-0.26666666666666672</v>
      </c>
      <c r="F174" s="44">
        <f t="shared" ref="F174" si="670">+IFERROR(F173/E173-1,"nm")</f>
        <v>14.136363636363637</v>
      </c>
      <c r="G174" s="44">
        <f t="shared" ref="G174" si="671">+IFERROR(G173/F173-1,"nm")</f>
        <v>-0.963963963963964</v>
      </c>
      <c r="H174" s="44">
        <f t="shared" ref="H174" si="672">+IFERROR(H173/G173-1,"nm")</f>
        <v>-0.41666666666666663</v>
      </c>
      <c r="I174" s="44">
        <f>+IFERROR(I173/H173-1,"nm")</f>
        <v>0.28571428571428581</v>
      </c>
      <c r="J174" s="44">
        <f>+IFERROR(J173/I173-1,"nm")</f>
        <v>0.39077222222222208</v>
      </c>
      <c r="K174" s="44">
        <f t="shared" ref="K174" si="673">+IFERROR(K173/J173-1,"nm")</f>
        <v>7.2203571956426904E-2</v>
      </c>
      <c r="L174" s="44">
        <f t="shared" ref="L174" si="674">+IFERROR(L173/K173-1,"nm")</f>
        <v>7.7073943172267789E-2</v>
      </c>
      <c r="M174" s="44">
        <f t="shared" ref="M174" si="675">+IFERROR(M173/L173-1,"nm")</f>
        <v>8.6703905785453061E-2</v>
      </c>
      <c r="N174" s="44">
        <f t="shared" ref="N174" si="676">+IFERROR(N173/M173-1,"nm")</f>
        <v>9.6537989098303578E-2</v>
      </c>
    </row>
    <row r="175" spans="1:14" x14ac:dyDescent="0.3">
      <c r="A175" s="43" t="s">
        <v>132</v>
      </c>
      <c r="B175" s="44">
        <f>+IFERROR(B173/B$145,"nm")</f>
        <v>3.481331987891019E-2</v>
      </c>
      <c r="C175" s="44">
        <f t="shared" ref="C175:I175" si="677">+IFERROR(C173/C$145,"nm")</f>
        <v>1.9948849104859334E-2</v>
      </c>
      <c r="D175" s="44">
        <f t="shared" si="677"/>
        <v>1.4691478942213516E-2</v>
      </c>
      <c r="E175" s="44">
        <f t="shared" si="677"/>
        <v>1.166489925768823E-2</v>
      </c>
      <c r="F175" s="44">
        <f t="shared" si="677"/>
        <v>0.17471143756558238</v>
      </c>
      <c r="G175" s="44">
        <f t="shared" si="677"/>
        <v>6.5005417118093175E-3</v>
      </c>
      <c r="H175" s="44">
        <f t="shared" si="677"/>
        <v>3.1746031746031746E-3</v>
      </c>
      <c r="I175" s="44">
        <f t="shared" si="677"/>
        <v>3.8363171355498722E-3</v>
      </c>
      <c r="J175" s="46">
        <f>Assumptions!B49</f>
        <v>5.0000000000000001E-3</v>
      </c>
      <c r="K175" s="46">
        <f>Assumptions!C49</f>
        <v>5.0000000000000001E-3</v>
      </c>
      <c r="L175" s="46">
        <f>Assumptions!D49</f>
        <v>5.0000000000000001E-3</v>
      </c>
      <c r="M175" s="46">
        <f>Assumptions!E49</f>
        <v>5.0000000000000001E-3</v>
      </c>
      <c r="N175" s="46">
        <f>Assumptions!F49</f>
        <v>5.0000000000000001E-3</v>
      </c>
    </row>
    <row r="176" spans="1:14" x14ac:dyDescent="0.3">
      <c r="A176" s="9" t="s">
        <v>140</v>
      </c>
      <c r="B176" s="9">
        <f>Historicals!B155</f>
        <v>122</v>
      </c>
      <c r="C176" s="9">
        <f>Historicals!C155</f>
        <v>125</v>
      </c>
      <c r="D176" s="9">
        <f>Historicals!D155</f>
        <v>125</v>
      </c>
      <c r="E176" s="9">
        <f>Historicals!E155</f>
        <v>115</v>
      </c>
      <c r="F176" s="9">
        <f>Historicals!F155</f>
        <v>100</v>
      </c>
      <c r="G176" s="9">
        <f>Historicals!G155</f>
        <v>80</v>
      </c>
      <c r="H176" s="9">
        <f>Historicals!H155</f>
        <v>63</v>
      </c>
      <c r="I176" s="9">
        <f>Historicals!I155</f>
        <v>49</v>
      </c>
      <c r="J176" s="45">
        <f>+J145*J178</f>
        <v>50.067799999999998</v>
      </c>
      <c r="K176" s="45">
        <f>+K145*K178</f>
        <v>53.682873999999991</v>
      </c>
      <c r="L176" s="45">
        <f>+L145*L178</f>
        <v>57.820424780000003</v>
      </c>
      <c r="M176" s="45">
        <f>+M145*M178</f>
        <v>62.833681442600003</v>
      </c>
      <c r="N176" s="45">
        <f>+N145*N178</f>
        <v>68.899518696712008</v>
      </c>
    </row>
    <row r="177" spans="1:15" x14ac:dyDescent="0.3">
      <c r="A177" s="43" t="s">
        <v>128</v>
      </c>
      <c r="B177" s="44" t="str">
        <f t="shared" ref="B177" si="678">+IFERROR(B176/A176-1,"nm")</f>
        <v>nm</v>
      </c>
      <c r="C177" s="44">
        <f t="shared" ref="C177" si="679">+IFERROR(C176/B176-1,"nm")</f>
        <v>2.4590163934426146E-2</v>
      </c>
      <c r="D177" s="44">
        <f t="shared" ref="D177" si="680">+IFERROR(D176/C176-1,"nm")</f>
        <v>0</v>
      </c>
      <c r="E177" s="44">
        <f t="shared" ref="E177" si="681">+IFERROR(E176/D176-1,"nm")</f>
        <v>-7.999999999999996E-2</v>
      </c>
      <c r="F177" s="44">
        <f t="shared" ref="F177" si="682">+IFERROR(F176/E176-1,"nm")</f>
        <v>-0.13043478260869568</v>
      </c>
      <c r="G177" s="44">
        <f t="shared" ref="G177" si="683">+IFERROR(G176/F176-1,"nm")</f>
        <v>-0.19999999999999996</v>
      </c>
      <c r="H177" s="44">
        <f t="shared" ref="H177" si="684">+IFERROR(H176/G176-1,"nm")</f>
        <v>-0.21250000000000002</v>
      </c>
      <c r="I177" s="44">
        <f>+IFERROR(I176/H176-1,"nm")</f>
        <v>-0.22222222222222221</v>
      </c>
      <c r="J177" s="44">
        <f>+J178+J179</f>
        <v>0.02</v>
      </c>
      <c r="K177" s="44">
        <f t="shared" ref="K177:N177" si="685">+K178+K179</f>
        <v>0.02</v>
      </c>
      <c r="L177" s="44">
        <f t="shared" si="685"/>
        <v>0.02</v>
      </c>
      <c r="M177" s="44">
        <f t="shared" si="685"/>
        <v>0.02</v>
      </c>
      <c r="N177" s="44">
        <f t="shared" si="685"/>
        <v>0.02</v>
      </c>
    </row>
    <row r="178" spans="1:15" x14ac:dyDescent="0.3">
      <c r="A178" s="43" t="s">
        <v>132</v>
      </c>
      <c r="B178" s="44">
        <f>+IFERROR(B176/B$145,"nm")</f>
        <v>6.1553985872855703E-2</v>
      </c>
      <c r="C178" s="44">
        <f t="shared" ref="C178:I178" si="686">+IFERROR(C176/C$145,"nm")</f>
        <v>6.3938618925831206E-2</v>
      </c>
      <c r="D178" s="44">
        <f t="shared" si="686"/>
        <v>6.1214495592556317E-2</v>
      </c>
      <c r="E178" s="44">
        <f t="shared" si="686"/>
        <v>6.097560975609756E-2</v>
      </c>
      <c r="F178" s="44">
        <f t="shared" si="686"/>
        <v>5.2465897166841552E-2</v>
      </c>
      <c r="G178" s="44">
        <f t="shared" si="686"/>
        <v>4.3336944745395449E-2</v>
      </c>
      <c r="H178" s="44">
        <f t="shared" si="686"/>
        <v>2.8571428571428571E-2</v>
      </c>
      <c r="I178" s="44">
        <f t="shared" si="686"/>
        <v>2.0886615515771527E-2</v>
      </c>
      <c r="J178" s="46">
        <f>Assumptions!B48</f>
        <v>0.02</v>
      </c>
      <c r="K178" s="46">
        <f>Assumptions!C48</f>
        <v>0.02</v>
      </c>
      <c r="L178" s="46">
        <f>Assumptions!D48</f>
        <v>0.02</v>
      </c>
      <c r="M178" s="46">
        <f>Assumptions!E48</f>
        <v>0.02</v>
      </c>
      <c r="N178" s="46">
        <f>Assumptions!F48</f>
        <v>0.02</v>
      </c>
    </row>
    <row r="179" spans="1:15" x14ac:dyDescent="0.3">
      <c r="A179" s="41" t="str">
        <f>Historicals!A164</f>
        <v>Global Brand Divisions</v>
      </c>
      <c r="B179" s="41"/>
      <c r="C179" s="41"/>
      <c r="D179" s="41"/>
      <c r="E179" s="41"/>
      <c r="F179" s="41"/>
      <c r="G179" s="41"/>
      <c r="H179" s="41"/>
      <c r="I179" s="41"/>
      <c r="J179" s="37"/>
      <c r="K179" s="37"/>
      <c r="L179" s="37"/>
      <c r="M179" s="37"/>
      <c r="N179" s="37"/>
    </row>
    <row r="180" spans="1:15" x14ac:dyDescent="0.3">
      <c r="A180" s="9" t="s">
        <v>135</v>
      </c>
      <c r="B180" s="9">
        <f>Historicals!B127</f>
        <v>115</v>
      </c>
      <c r="C180" s="9">
        <f>Historicals!C127</f>
        <v>73</v>
      </c>
      <c r="D180" s="9">
        <f>Historicals!D127</f>
        <v>73</v>
      </c>
      <c r="E180" s="9">
        <f>Historicals!E127</f>
        <v>88</v>
      </c>
      <c r="F180" s="9">
        <f>Historicals!F127</f>
        <v>42</v>
      </c>
      <c r="G180" s="9">
        <f>Historicals!G127</f>
        <v>30</v>
      </c>
      <c r="H180" s="9">
        <f>Historicals!H127</f>
        <v>25</v>
      </c>
      <c r="I180" s="9">
        <f>Historicals!I127</f>
        <v>102</v>
      </c>
      <c r="J180" s="9">
        <f>+I180*(1+J181)</f>
        <v>104.04</v>
      </c>
      <c r="K180" s="9">
        <f t="shared" ref="K180:N180" si="687">+J180*(1+K181)</f>
        <v>106.1208</v>
      </c>
      <c r="L180" s="9">
        <f t="shared" si="687"/>
        <v>108.77381999999999</v>
      </c>
      <c r="M180" s="9">
        <f t="shared" si="687"/>
        <v>112.03703459999998</v>
      </c>
      <c r="N180" s="9">
        <f t="shared" si="687"/>
        <v>114.27777529199999</v>
      </c>
    </row>
    <row r="181" spans="1:15" x14ac:dyDescent="0.3">
      <c r="A181" s="42" t="s">
        <v>128</v>
      </c>
      <c r="B181" s="44" t="str">
        <f>+IFERROR(B180/A180-1,"nm")</f>
        <v>nm</v>
      </c>
      <c r="C181" s="44">
        <f t="shared" ref="C181:I181" si="688">+IFERROR(C180/B180-1,"nm")</f>
        <v>-0.36521739130434783</v>
      </c>
      <c r="D181" s="44">
        <f t="shared" si="688"/>
        <v>0</v>
      </c>
      <c r="E181" s="44">
        <f t="shared" si="688"/>
        <v>0.20547945205479445</v>
      </c>
      <c r="F181" s="44">
        <f t="shared" si="688"/>
        <v>-0.52272727272727271</v>
      </c>
      <c r="G181" s="44">
        <f t="shared" si="688"/>
        <v>-0.2857142857142857</v>
      </c>
      <c r="H181" s="44">
        <f t="shared" si="688"/>
        <v>-0.16666666666666663</v>
      </c>
      <c r="I181" s="44">
        <f t="shared" si="688"/>
        <v>3.08</v>
      </c>
      <c r="J181" s="44">
        <f>Assumptions!B36</f>
        <v>0.02</v>
      </c>
      <c r="K181" s="44">
        <f>Assumptions!C36</f>
        <v>0.02</v>
      </c>
      <c r="L181" s="44">
        <f>Assumptions!D36</f>
        <v>2.5000000000000001E-2</v>
      </c>
      <c r="M181" s="44">
        <f>Assumptions!E36</f>
        <v>0.03</v>
      </c>
      <c r="N181" s="44">
        <f>Assumptions!F36</f>
        <v>0.02</v>
      </c>
    </row>
    <row r="182" spans="1:15" x14ac:dyDescent="0.3">
      <c r="A182" s="9" t="s">
        <v>129</v>
      </c>
      <c r="B182" s="45">
        <f t="shared" ref="B182:G182" si="689">+B189+B185</f>
        <v>-2057</v>
      </c>
      <c r="C182" s="45">
        <f t="shared" si="689"/>
        <v>-2366</v>
      </c>
      <c r="D182" s="45">
        <f t="shared" si="689"/>
        <v>-2444</v>
      </c>
      <c r="E182" s="45">
        <f t="shared" si="689"/>
        <v>-2441</v>
      </c>
      <c r="F182" s="45">
        <f t="shared" si="689"/>
        <v>-3067</v>
      </c>
      <c r="G182" s="45">
        <f t="shared" si="689"/>
        <v>-3254</v>
      </c>
      <c r="H182" s="45">
        <f t="shared" ref="H182" si="690">+H189+H185</f>
        <v>-3434</v>
      </c>
      <c r="I182" s="45">
        <f>+I189+I185</f>
        <v>-4042</v>
      </c>
      <c r="J182" s="45">
        <f>+J180*J184</f>
        <v>-2080.8000000000002</v>
      </c>
      <c r="K182" s="45">
        <f>+K180*K184</f>
        <v>-2122.4160000000002</v>
      </c>
      <c r="L182" s="45">
        <f>+L180*L184</f>
        <v>-2175.4763999999996</v>
      </c>
      <c r="M182" s="45">
        <f>+M180*M184</f>
        <v>-2240.7406919999999</v>
      </c>
      <c r="N182" s="45">
        <f>+N180*N184</f>
        <v>-2285.5555058399996</v>
      </c>
      <c r="O182" t="s">
        <v>238</v>
      </c>
    </row>
    <row r="183" spans="1:15" x14ac:dyDescent="0.3">
      <c r="A183" s="43" t="s">
        <v>128</v>
      </c>
      <c r="B183" s="44" t="str">
        <f t="shared" ref="B183" si="691">+IFERROR(B182/A182-1,"nm")</f>
        <v>nm</v>
      </c>
      <c r="C183" s="44">
        <f t="shared" ref="C183" si="692">+IFERROR(C182/B182-1,"nm")</f>
        <v>0.15021876519202726</v>
      </c>
      <c r="D183" s="44">
        <f t="shared" ref="D183" si="693">+IFERROR(D182/C182-1,"nm")</f>
        <v>3.2967032967033072E-2</v>
      </c>
      <c r="E183" s="44">
        <f t="shared" ref="E183" si="694">+IFERROR(E182/D182-1,"nm")</f>
        <v>-1.2274959083469206E-3</v>
      </c>
      <c r="F183" s="44">
        <f t="shared" ref="F183" si="695">+IFERROR(F182/E182-1,"nm")</f>
        <v>0.25645227365833678</v>
      </c>
      <c r="G183" s="44">
        <f t="shared" ref="G183" si="696">+IFERROR(G182/F182-1,"nm")</f>
        <v>6.0971633518095869E-2</v>
      </c>
      <c r="H183" s="44">
        <f t="shared" ref="H183" si="697">+IFERROR(H182/G182-1,"nm")</f>
        <v>5.5316533497234088E-2</v>
      </c>
      <c r="I183" s="44">
        <f>+IFERROR(I182/H182-1,"nm")</f>
        <v>0.1770529994175889</v>
      </c>
      <c r="J183" s="44">
        <f>+IFERROR(J182/I182-1,"nm")</f>
        <v>-0.4852053438891637</v>
      </c>
      <c r="K183" s="44">
        <f t="shared" ref="K183" si="698">+IFERROR(K182/J182-1,"nm")</f>
        <v>2.0000000000000018E-2</v>
      </c>
      <c r="L183" s="44">
        <f>+IFERROR(L182/K182-1,"nm")</f>
        <v>2.4999999999999689E-2</v>
      </c>
      <c r="M183" s="44">
        <f t="shared" ref="M183" si="699">+IFERROR(M182/L182-1,"nm")</f>
        <v>3.0000000000000249E-2</v>
      </c>
      <c r="N183" s="44">
        <f t="shared" ref="N183" si="700">+IFERROR(N182/M182-1,"nm")</f>
        <v>1.9999999999999796E-2</v>
      </c>
    </row>
    <row r="184" spans="1:15" x14ac:dyDescent="0.3">
      <c r="A184" s="43" t="s">
        <v>130</v>
      </c>
      <c r="B184" s="44">
        <f>+IFERROR(B182/B$180,"nm")</f>
        <v>-17.88695652173913</v>
      </c>
      <c r="C184" s="44">
        <f t="shared" ref="C184:I184" si="701">+IFERROR(C182/C$180,"nm")</f>
        <v>-32.410958904109592</v>
      </c>
      <c r="D184" s="44">
        <f t="shared" si="701"/>
        <v>-33.479452054794521</v>
      </c>
      <c r="E184" s="44">
        <f t="shared" si="701"/>
        <v>-27.738636363636363</v>
      </c>
      <c r="F184" s="44">
        <f t="shared" si="701"/>
        <v>-73.023809523809518</v>
      </c>
      <c r="G184" s="44">
        <f t="shared" si="701"/>
        <v>-108.46666666666667</v>
      </c>
      <c r="H184" s="44">
        <f t="shared" si="701"/>
        <v>-137.36000000000001</v>
      </c>
      <c r="I184" s="44">
        <f t="shared" si="701"/>
        <v>-39.627450980392155</v>
      </c>
      <c r="J184" s="46">
        <f>Assumptions!B37</f>
        <v>-20</v>
      </c>
      <c r="K184" s="46">
        <f>Assumptions!C37</f>
        <v>-20</v>
      </c>
      <c r="L184" s="46">
        <f>Assumptions!D37</f>
        <v>-20</v>
      </c>
      <c r="M184" s="46">
        <f>Assumptions!E37</f>
        <v>-20</v>
      </c>
      <c r="N184" s="46">
        <f>Assumptions!F37</f>
        <v>-20</v>
      </c>
      <c r="O184" s="46"/>
    </row>
    <row r="185" spans="1:15" x14ac:dyDescent="0.3">
      <c r="A185" s="9" t="s">
        <v>131</v>
      </c>
      <c r="B185" s="9">
        <f>Historicals!B175</f>
        <v>210</v>
      </c>
      <c r="C185" s="9">
        <f>Historicals!C175</f>
        <v>230</v>
      </c>
      <c r="D185" s="9">
        <f>Historicals!D175</f>
        <v>233</v>
      </c>
      <c r="E185" s="9">
        <f>Historicals!E175</f>
        <v>217</v>
      </c>
      <c r="F185" s="9">
        <f>Historicals!F175</f>
        <v>195</v>
      </c>
      <c r="G185" s="9">
        <f>Historicals!G175</f>
        <v>214</v>
      </c>
      <c r="H185" s="9">
        <f>Historicals!H175</f>
        <v>222</v>
      </c>
      <c r="I185" s="9">
        <f>Historicals!I175</f>
        <v>220</v>
      </c>
      <c r="J185" s="9">
        <f>+J188*J195</f>
        <v>189.3528</v>
      </c>
      <c r="K185" s="9">
        <f t="shared" ref="K185:N185" si="702">+K188*K195</f>
        <v>193.13985600000004</v>
      </c>
      <c r="L185" s="9">
        <f t="shared" si="702"/>
        <v>197.96835240000001</v>
      </c>
      <c r="M185" s="9">
        <f t="shared" si="702"/>
        <v>203.907402972</v>
      </c>
      <c r="N185" s="9">
        <f t="shared" si="702"/>
        <v>207.98555103144</v>
      </c>
    </row>
    <row r="186" spans="1:15" x14ac:dyDescent="0.3">
      <c r="A186" s="43" t="s">
        <v>128</v>
      </c>
      <c r="B186" s="44" t="str">
        <f t="shared" ref="B186" si="703">+IFERROR(B185/A185-1,"nm")</f>
        <v>nm</v>
      </c>
      <c r="C186" s="44">
        <f t="shared" ref="C186" si="704">+IFERROR(C185/B185-1,"nm")</f>
        <v>9.5238095238095344E-2</v>
      </c>
      <c r="D186" s="44">
        <f t="shared" ref="D186" si="705">+IFERROR(D185/C185-1,"nm")</f>
        <v>1.304347826086949E-2</v>
      </c>
      <c r="E186" s="44">
        <f t="shared" ref="E186" si="706">+IFERROR(E185/D185-1,"nm")</f>
        <v>-6.8669527896995763E-2</v>
      </c>
      <c r="F186" s="44">
        <f t="shared" ref="F186" si="707">+IFERROR(F185/E185-1,"nm")</f>
        <v>-0.10138248847926268</v>
      </c>
      <c r="G186" s="44">
        <f t="shared" ref="G186" si="708">+IFERROR(G185/F185-1,"nm")</f>
        <v>9.7435897435897534E-2</v>
      </c>
      <c r="H186" s="44">
        <f t="shared" ref="H186" si="709">+IFERROR(H185/G185-1,"nm")</f>
        <v>3.7383177570093462E-2</v>
      </c>
      <c r="I186" s="44">
        <f>+IFERROR(I185/H185-1,"nm")</f>
        <v>-9.009009009009028E-3</v>
      </c>
      <c r="J186" s="44">
        <f>+IFERROR(J185/I185-1,"nm")</f>
        <v>-0.13930545454545451</v>
      </c>
      <c r="K186" s="44">
        <f t="shared" ref="K186" si="710">+IFERROR(K185/J185-1,"nm")</f>
        <v>2.000000000000024E-2</v>
      </c>
      <c r="L186" s="44">
        <f t="shared" ref="L186" si="711">+IFERROR(L185/K185-1,"nm")</f>
        <v>2.4999999999999911E-2</v>
      </c>
      <c r="M186" s="44">
        <f t="shared" ref="M186" si="712">+IFERROR(M185/L185-1,"nm")</f>
        <v>3.0000000000000027E-2</v>
      </c>
      <c r="N186" s="44">
        <f t="shared" ref="N186" si="713">+IFERROR(N185/M185-1,"nm")</f>
        <v>2.0000000000000018E-2</v>
      </c>
    </row>
    <row r="187" spans="1:15" x14ac:dyDescent="0.3">
      <c r="A187" s="43" t="s">
        <v>132</v>
      </c>
      <c r="B187" s="44">
        <f>+IFERROR(B185/B$180,"nm")</f>
        <v>1.826086956521739</v>
      </c>
      <c r="C187" s="44">
        <f t="shared" ref="C187:I187" si="714">+IFERROR(C185/C$180,"nm")</f>
        <v>3.1506849315068495</v>
      </c>
      <c r="D187" s="44">
        <f t="shared" si="714"/>
        <v>3.1917808219178081</v>
      </c>
      <c r="E187" s="44">
        <f t="shared" si="714"/>
        <v>2.4659090909090908</v>
      </c>
      <c r="F187" s="44">
        <f t="shared" si="714"/>
        <v>4.6428571428571432</v>
      </c>
      <c r="G187" s="44">
        <f t="shared" si="714"/>
        <v>7.1333333333333337</v>
      </c>
      <c r="H187" s="44">
        <f t="shared" si="714"/>
        <v>8.8800000000000008</v>
      </c>
      <c r="I187" s="44">
        <f t="shared" si="714"/>
        <v>2.1568627450980391</v>
      </c>
      <c r="J187" s="44">
        <f>+IFERROR(J185/J$21,"nm")</f>
        <v>9.6762394013912498E-3</v>
      </c>
      <c r="K187" s="44">
        <f t="shared" ref="K187:N187" si="715">+IFERROR(K185/K$21,"nm")</f>
        <v>9.238696872677846E-3</v>
      </c>
      <c r="L187" s="44">
        <f t="shared" si="715"/>
        <v>8.7009840958551087E-3</v>
      </c>
      <c r="M187" s="44">
        <f t="shared" si="715"/>
        <v>8.1242849016562573E-3</v>
      </c>
      <c r="N187" s="44">
        <f t="shared" si="715"/>
        <v>7.7121994219197035E-3</v>
      </c>
    </row>
    <row r="188" spans="1:15" x14ac:dyDescent="0.3">
      <c r="A188" s="43" t="s">
        <v>139</v>
      </c>
      <c r="B188" s="44">
        <f t="shared" ref="B188:H188" si="716">+IFERROR(B185/B195,"nm")</f>
        <v>0.43388429752066116</v>
      </c>
      <c r="C188" s="44">
        <f t="shared" si="716"/>
        <v>0.45009784735812131</v>
      </c>
      <c r="D188" s="44">
        <f t="shared" si="716"/>
        <v>0.43714821763602252</v>
      </c>
      <c r="E188" s="44">
        <f t="shared" si="716"/>
        <v>0.36348408710217756</v>
      </c>
      <c r="F188" s="44">
        <f t="shared" si="716"/>
        <v>0.2932330827067669</v>
      </c>
      <c r="G188" s="44">
        <f t="shared" si="716"/>
        <v>0.25783132530120484</v>
      </c>
      <c r="H188" s="44">
        <f t="shared" si="716"/>
        <v>0.2846153846153846</v>
      </c>
      <c r="I188" s="44">
        <f>+IFERROR(I185/I195,"nm")</f>
        <v>0.27883396704689478</v>
      </c>
      <c r="J188" s="46">
        <f>Assumptions!B38</f>
        <v>0.28000000000000003</v>
      </c>
      <c r="K188" s="46">
        <f>Assumptions!C38</f>
        <v>0.28000000000000003</v>
      </c>
      <c r="L188" s="46">
        <f>Assumptions!D38</f>
        <v>0.28000000000000003</v>
      </c>
      <c r="M188" s="46">
        <f>Assumptions!E38</f>
        <v>0.28000000000000003</v>
      </c>
      <c r="N188" s="46">
        <f>Assumptions!F38</f>
        <v>0.28000000000000003</v>
      </c>
    </row>
    <row r="189" spans="1:15" x14ac:dyDescent="0.3">
      <c r="A189" s="9" t="s">
        <v>133</v>
      </c>
      <c r="B189" s="9">
        <f>Historicals!B142</f>
        <v>-2267</v>
      </c>
      <c r="C189" s="9">
        <f>Historicals!C142</f>
        <v>-2596</v>
      </c>
      <c r="D189" s="9">
        <f>Historicals!D142</f>
        <v>-2677</v>
      </c>
      <c r="E189" s="9">
        <f>Historicals!E142</f>
        <v>-2658</v>
      </c>
      <c r="F189" s="9">
        <f>Historicals!F142</f>
        <v>-3262</v>
      </c>
      <c r="G189" s="9">
        <f>Historicals!G142</f>
        <v>-3468</v>
      </c>
      <c r="H189" s="9">
        <f>Historicals!H142</f>
        <v>-3656</v>
      </c>
      <c r="I189" s="9">
        <f>Historicals!I142</f>
        <v>-4262</v>
      </c>
      <c r="J189" s="9">
        <f>+J182-J185</f>
        <v>-2270.1528000000003</v>
      </c>
      <c r="K189" s="9">
        <f t="shared" ref="K189:N189" si="717">+K182-K185</f>
        <v>-2315.5558560000004</v>
      </c>
      <c r="L189" s="9">
        <f t="shared" si="717"/>
        <v>-2373.4447523999997</v>
      </c>
      <c r="M189" s="9">
        <f t="shared" si="717"/>
        <v>-2444.6480949719999</v>
      </c>
      <c r="N189" s="9">
        <f t="shared" si="717"/>
        <v>-2493.5410568714397</v>
      </c>
    </row>
    <row r="190" spans="1:15" x14ac:dyDescent="0.3">
      <c r="A190" s="43" t="s">
        <v>128</v>
      </c>
      <c r="B190" s="44" t="str">
        <f t="shared" ref="B190" si="718">+IFERROR(B189/A189-1,"nm")</f>
        <v>nm</v>
      </c>
      <c r="C190" s="44">
        <f t="shared" ref="C190" si="719">+IFERROR(C189/B189-1,"nm")</f>
        <v>0.145125716806352</v>
      </c>
      <c r="D190" s="44">
        <f t="shared" ref="D190" si="720">+IFERROR(D189/C189-1,"nm")</f>
        <v>3.1201848998459125E-2</v>
      </c>
      <c r="E190" s="44">
        <f t="shared" ref="E190" si="721">+IFERROR(E189/D189-1,"nm")</f>
        <v>-7.097497198356395E-3</v>
      </c>
      <c r="F190" s="44">
        <f t="shared" ref="F190" si="722">+IFERROR(F189/E189-1,"nm")</f>
        <v>0.22723852520692245</v>
      </c>
      <c r="G190" s="44">
        <f t="shared" ref="G190" si="723">+IFERROR(G189/F189-1,"nm")</f>
        <v>6.3151440833844275E-2</v>
      </c>
      <c r="H190" s="44">
        <f t="shared" ref="H190" si="724">+IFERROR(H189/G189-1,"nm")</f>
        <v>5.4209919261822392E-2</v>
      </c>
      <c r="I190" s="44">
        <f>+IFERROR(I189/H189-1,"nm")</f>
        <v>0.16575492341356668</v>
      </c>
      <c r="J190" s="44">
        <f>+IFERROR(J189/I189-1,"nm")</f>
        <v>-0.46735035194744246</v>
      </c>
      <c r="K190" s="44">
        <f t="shared" ref="K190" si="725">+IFERROR(K189/J189-1,"nm")</f>
        <v>2.0000000000000018E-2</v>
      </c>
      <c r="L190" s="44">
        <f t="shared" ref="L190" si="726">+IFERROR(L189/K189-1,"nm")</f>
        <v>2.4999999999999689E-2</v>
      </c>
      <c r="M190" s="44">
        <f t="shared" ref="M190" si="727">+IFERROR(M189/L189-1,"nm")</f>
        <v>3.0000000000000027E-2</v>
      </c>
      <c r="N190" s="44">
        <f t="shared" ref="N190" si="728">+IFERROR(N189/M189-1,"nm")</f>
        <v>2.0000000000000018E-2</v>
      </c>
    </row>
    <row r="191" spans="1:15" x14ac:dyDescent="0.3">
      <c r="A191" s="43" t="s">
        <v>130</v>
      </c>
      <c r="B191" s="44">
        <f t="shared" ref="B191:H191" si="729">+IFERROR(B189/B$180,"nm")</f>
        <v>-19.713043478260868</v>
      </c>
      <c r="C191" s="44">
        <f t="shared" si="729"/>
        <v>-35.561643835616437</v>
      </c>
      <c r="D191" s="44">
        <f t="shared" si="729"/>
        <v>-36.671232876712331</v>
      </c>
      <c r="E191" s="44">
        <f t="shared" si="729"/>
        <v>-30.204545454545453</v>
      </c>
      <c r="F191" s="44">
        <f t="shared" si="729"/>
        <v>-77.666666666666671</v>
      </c>
      <c r="G191" s="44">
        <f t="shared" si="729"/>
        <v>-115.6</v>
      </c>
      <c r="H191" s="44">
        <f t="shared" si="729"/>
        <v>-146.24</v>
      </c>
      <c r="I191" s="44">
        <f>+IFERROR(I189/I$180,"nm")</f>
        <v>-41.784313725490193</v>
      </c>
      <c r="J191" s="44">
        <f t="shared" ref="J191:N191" si="730">+IFERROR(J189/J$180,"nm")</f>
        <v>-21.82</v>
      </c>
      <c r="K191" s="44">
        <f t="shared" si="730"/>
        <v>-21.820000000000004</v>
      </c>
      <c r="L191" s="44">
        <f t="shared" si="730"/>
        <v>-21.82</v>
      </c>
      <c r="M191" s="44">
        <f t="shared" si="730"/>
        <v>-21.82</v>
      </c>
      <c r="N191" s="44">
        <f t="shared" si="730"/>
        <v>-21.82</v>
      </c>
    </row>
    <row r="192" spans="1:15" x14ac:dyDescent="0.3">
      <c r="A192" s="9" t="s">
        <v>134</v>
      </c>
      <c r="B192" s="9">
        <f>Historicals!B164</f>
        <v>225</v>
      </c>
      <c r="C192" s="9">
        <f>Historicals!C164</f>
        <v>258</v>
      </c>
      <c r="D192" s="9">
        <f>Historicals!D164</f>
        <v>278</v>
      </c>
      <c r="E192" s="9">
        <f>Historicals!E164</f>
        <v>286</v>
      </c>
      <c r="F192" s="9">
        <f>Historicals!F164</f>
        <v>278</v>
      </c>
      <c r="G192" s="9">
        <f>Historicals!G164</f>
        <v>438</v>
      </c>
      <c r="H192" s="9">
        <f>Historicals!H164</f>
        <v>278</v>
      </c>
      <c r="I192" s="9">
        <f>Historicals!I164</f>
        <v>222</v>
      </c>
      <c r="J192" s="45">
        <f>+J180*J194</f>
        <v>208.08</v>
      </c>
      <c r="K192" s="45">
        <f>+K180*K194</f>
        <v>212.24160000000001</v>
      </c>
      <c r="L192" s="45">
        <f>+L180*L194</f>
        <v>217.54763999999997</v>
      </c>
      <c r="M192" s="45">
        <f>+M180*M194</f>
        <v>224.07406919999997</v>
      </c>
      <c r="N192" s="45">
        <f>+N180*N194</f>
        <v>228.55555058399997</v>
      </c>
    </row>
    <row r="193" spans="1:16" x14ac:dyDescent="0.3">
      <c r="A193" s="43" t="s">
        <v>128</v>
      </c>
      <c r="B193" s="44" t="str">
        <f t="shared" ref="B193" si="731">+IFERROR(B192/A192-1,"nm")</f>
        <v>nm</v>
      </c>
      <c r="C193" s="44">
        <f t="shared" ref="C193" si="732">+IFERROR(C192/B192-1,"nm")</f>
        <v>0.14666666666666672</v>
      </c>
      <c r="D193" s="44">
        <f t="shared" ref="D193" si="733">+IFERROR(D192/C192-1,"nm")</f>
        <v>7.7519379844961156E-2</v>
      </c>
      <c r="E193" s="44">
        <f t="shared" ref="E193" si="734">+IFERROR(E192/D192-1,"nm")</f>
        <v>2.877697841726623E-2</v>
      </c>
      <c r="F193" s="44">
        <f t="shared" ref="F193" si="735">+IFERROR(F192/E192-1,"nm")</f>
        <v>-2.7972027972028024E-2</v>
      </c>
      <c r="G193" s="44">
        <f t="shared" ref="G193" si="736">+IFERROR(G192/F192-1,"nm")</f>
        <v>0.57553956834532372</v>
      </c>
      <c r="H193" s="44">
        <f t="shared" ref="H193" si="737">+IFERROR(H192/G192-1,"nm")</f>
        <v>-0.36529680365296802</v>
      </c>
      <c r="I193" s="44">
        <f>+IFERROR(I192/H192-1,"nm")</f>
        <v>-0.20143884892086328</v>
      </c>
      <c r="J193" s="44">
        <f>+IFERROR(J192/I192-1,"nm")</f>
        <v>-6.2702702702702617E-2</v>
      </c>
      <c r="K193" s="44">
        <f t="shared" ref="K193" si="738">+IFERROR(K192/J192-1,"nm")</f>
        <v>2.0000000000000018E-2</v>
      </c>
      <c r="L193" s="44">
        <f t="shared" ref="L193" si="739">+IFERROR(L192/K192-1,"nm")</f>
        <v>2.4999999999999911E-2</v>
      </c>
      <c r="M193" s="44">
        <f t="shared" ref="M193" si="740">+IFERROR(M192/L192-1,"nm")</f>
        <v>3.0000000000000027E-2</v>
      </c>
      <c r="N193" s="44">
        <f t="shared" ref="N193" si="741">+IFERROR(N192/M192-1,"nm")</f>
        <v>2.0000000000000018E-2</v>
      </c>
    </row>
    <row r="194" spans="1:16" x14ac:dyDescent="0.3">
      <c r="A194" s="43" t="s">
        <v>132</v>
      </c>
      <c r="B194" s="44">
        <f>+IFERROR(B192/B$180,"nm")</f>
        <v>1.9565217391304348</v>
      </c>
      <c r="C194" s="44">
        <f t="shared" ref="C194:I194" si="742">+IFERROR(C192/C$180,"nm")</f>
        <v>3.5342465753424657</v>
      </c>
      <c r="D194" s="44">
        <f t="shared" si="742"/>
        <v>3.8082191780821919</v>
      </c>
      <c r="E194" s="44">
        <f t="shared" si="742"/>
        <v>3.25</v>
      </c>
      <c r="F194" s="44">
        <f t="shared" si="742"/>
        <v>6.6190476190476186</v>
      </c>
      <c r="G194" s="44">
        <f t="shared" si="742"/>
        <v>14.6</v>
      </c>
      <c r="H194" s="44">
        <f t="shared" si="742"/>
        <v>11.12</v>
      </c>
      <c r="I194" s="44">
        <f t="shared" si="742"/>
        <v>2.1764705882352939</v>
      </c>
      <c r="J194" s="46">
        <f>Assumptions!B40</f>
        <v>2</v>
      </c>
      <c r="K194" s="46">
        <f t="shared" ref="K194" si="743">+J194</f>
        <v>2</v>
      </c>
      <c r="L194" s="46">
        <f t="shared" ref="L194" si="744">+K194</f>
        <v>2</v>
      </c>
      <c r="M194" s="46">
        <f t="shared" ref="M194" si="745">+L194</f>
        <v>2</v>
      </c>
      <c r="N194" s="46">
        <f t="shared" ref="N194" si="746">+M194</f>
        <v>2</v>
      </c>
    </row>
    <row r="195" spans="1:16" x14ac:dyDescent="0.3">
      <c r="A195" s="9" t="s">
        <v>140</v>
      </c>
      <c r="B195" s="9">
        <f>Historicals!B153</f>
        <v>484</v>
      </c>
      <c r="C195" s="9">
        <f>Historicals!C153</f>
        <v>511</v>
      </c>
      <c r="D195" s="9">
        <f>Historicals!D153</f>
        <v>533</v>
      </c>
      <c r="E195" s="9">
        <f>Historicals!E153</f>
        <v>597</v>
      </c>
      <c r="F195" s="9">
        <f>Historicals!F153</f>
        <v>665</v>
      </c>
      <c r="G195" s="9">
        <f>Historicals!G153</f>
        <v>830</v>
      </c>
      <c r="H195" s="9">
        <f>Historicals!H153</f>
        <v>780</v>
      </c>
      <c r="I195" s="9">
        <f>Historicals!I153</f>
        <v>789</v>
      </c>
      <c r="J195" s="45">
        <f>+J180*J197</f>
        <v>676.26</v>
      </c>
      <c r="K195" s="45">
        <f>+K180*K197</f>
        <v>689.78520000000003</v>
      </c>
      <c r="L195" s="45">
        <f>+L180*L197</f>
        <v>707.02982999999995</v>
      </c>
      <c r="M195" s="45">
        <f>+M180*M197</f>
        <v>728.24072489999992</v>
      </c>
      <c r="N195" s="45">
        <f>+N180*N197</f>
        <v>742.80553939799995</v>
      </c>
    </row>
    <row r="196" spans="1:16" x14ac:dyDescent="0.3">
      <c r="A196" s="43" t="s">
        <v>128</v>
      </c>
      <c r="B196" s="44" t="str">
        <f t="shared" ref="B196" si="747">+IFERROR(B195/A195-1,"nm")</f>
        <v>nm</v>
      </c>
      <c r="C196" s="44">
        <f t="shared" ref="C196" si="748">+IFERROR(C195/B195-1,"nm")</f>
        <v>5.5785123966942241E-2</v>
      </c>
      <c r="D196" s="44">
        <f t="shared" ref="D196" si="749">+IFERROR(D195/C195-1,"nm")</f>
        <v>4.3052837573385627E-2</v>
      </c>
      <c r="E196" s="44">
        <f t="shared" ref="E196" si="750">+IFERROR(E195/D195-1,"nm")</f>
        <v>0.12007504690431525</v>
      </c>
      <c r="F196" s="44">
        <f t="shared" ref="F196" si="751">+IFERROR(F195/E195-1,"nm")</f>
        <v>0.11390284757118918</v>
      </c>
      <c r="G196" s="44">
        <f t="shared" ref="G196" si="752">+IFERROR(G195/F195-1,"nm")</f>
        <v>0.24812030075187974</v>
      </c>
      <c r="H196" s="44">
        <f t="shared" ref="H196" si="753">+IFERROR(H195/G195-1,"nm")</f>
        <v>-6.0240963855421659E-2</v>
      </c>
      <c r="I196" s="44">
        <f>+IFERROR(I195/H195-1,"nm")</f>
        <v>1.1538461538461497E-2</v>
      </c>
      <c r="J196" s="44">
        <f>+J197+J198</f>
        <v>6.5</v>
      </c>
      <c r="K196" s="44">
        <f t="shared" ref="K196:N196" si="754">+K197+K198</f>
        <v>6.5</v>
      </c>
      <c r="L196" s="44">
        <f t="shared" si="754"/>
        <v>6.5</v>
      </c>
      <c r="M196" s="44">
        <f t="shared" si="754"/>
        <v>6.5</v>
      </c>
      <c r="N196" s="44">
        <f t="shared" si="754"/>
        <v>6.5</v>
      </c>
    </row>
    <row r="197" spans="1:16" x14ac:dyDescent="0.3">
      <c r="A197" s="43" t="s">
        <v>132</v>
      </c>
      <c r="B197" s="44">
        <f>+IFERROR(B195/B$180,"nm")</f>
        <v>4.2086956521739127</v>
      </c>
      <c r="C197" s="44">
        <f t="shared" ref="C197:H197" si="755">+IFERROR(C195/C$180,"nm")</f>
        <v>7</v>
      </c>
      <c r="D197" s="44">
        <f t="shared" si="755"/>
        <v>7.3013698630136989</v>
      </c>
      <c r="E197" s="44">
        <f t="shared" si="755"/>
        <v>6.7840909090909092</v>
      </c>
      <c r="F197" s="44">
        <f t="shared" si="755"/>
        <v>15.833333333333334</v>
      </c>
      <c r="G197" s="44">
        <f t="shared" si="755"/>
        <v>27.666666666666668</v>
      </c>
      <c r="H197" s="44">
        <f t="shared" si="755"/>
        <v>31.2</v>
      </c>
      <c r="I197" s="44">
        <f>+IFERROR(I195/I$180,"nm")</f>
        <v>7.7352941176470589</v>
      </c>
      <c r="J197" s="46">
        <f>Assumptions!B39</f>
        <v>6.5</v>
      </c>
      <c r="K197" s="46">
        <f>Assumptions!C39</f>
        <v>6.5</v>
      </c>
      <c r="L197" s="46">
        <f>Assumptions!D39</f>
        <v>6.5</v>
      </c>
      <c r="M197" s="46">
        <f>Assumptions!E39</f>
        <v>6.5</v>
      </c>
      <c r="N197" s="46">
        <f>Assumptions!F39</f>
        <v>6.5</v>
      </c>
    </row>
    <row r="198" spans="1:16" x14ac:dyDescent="0.3">
      <c r="A198" s="41" t="str">
        <f>Historicals!A134</f>
        <v>Corporate</v>
      </c>
      <c r="B198" s="41"/>
      <c r="C198" s="41"/>
      <c r="D198" s="41"/>
      <c r="E198" s="41"/>
      <c r="F198" s="41"/>
      <c r="G198" s="41"/>
      <c r="H198" s="41"/>
      <c r="I198" s="41"/>
      <c r="J198" s="37"/>
      <c r="K198" s="37"/>
      <c r="L198" s="37"/>
      <c r="M198" s="37"/>
      <c r="N198" s="37"/>
    </row>
    <row r="199" spans="1:16" x14ac:dyDescent="0.3">
      <c r="A199" s="9" t="s">
        <v>135</v>
      </c>
      <c r="B199" s="9">
        <f>Historicals!B134</f>
        <v>-82</v>
      </c>
      <c r="C199" s="9">
        <f>Historicals!C134</f>
        <v>-86</v>
      </c>
      <c r="D199" s="9">
        <f>Historicals!D134</f>
        <v>75</v>
      </c>
      <c r="E199" s="9">
        <f>Historicals!E134</f>
        <v>26</v>
      </c>
      <c r="F199" s="9">
        <f>Historicals!F134</f>
        <v>-7</v>
      </c>
      <c r="G199" s="9">
        <f>Historicals!G134</f>
        <v>-11</v>
      </c>
      <c r="H199" s="9">
        <f>Historicals!H134</f>
        <v>40</v>
      </c>
      <c r="I199" s="9">
        <f>Historicals!I134</f>
        <v>-72</v>
      </c>
      <c r="J199" s="9">
        <f>+I99*(1+J200)</f>
        <v>1.1158076056711275</v>
      </c>
      <c r="K199" s="9">
        <f t="shared" ref="K199:N199" si="756">J199</f>
        <v>1.1158076056711275</v>
      </c>
      <c r="L199" s="9">
        <f t="shared" si="756"/>
        <v>1.1158076056711275</v>
      </c>
      <c r="M199" s="9">
        <f t="shared" si="756"/>
        <v>1.1158076056711275</v>
      </c>
      <c r="N199" s="9">
        <f t="shared" si="756"/>
        <v>1.1158076056711275</v>
      </c>
      <c r="O199" t="s">
        <v>237</v>
      </c>
    </row>
    <row r="200" spans="1:16" x14ac:dyDescent="0.3">
      <c r="A200" s="42" t="s">
        <v>128</v>
      </c>
      <c r="B200" s="44" t="str">
        <f>+IFERROR(B199/A199-1,"nm")</f>
        <v>nm</v>
      </c>
      <c r="C200" s="44">
        <f t="shared" ref="C200" si="757">+IFERROR(C199/B199-1,"nm")</f>
        <v>4.8780487804878092E-2</v>
      </c>
      <c r="D200" s="44">
        <f t="shared" ref="D200" si="758">+IFERROR(D199/C199-1,"nm")</f>
        <v>-1.8720930232558139</v>
      </c>
      <c r="E200" s="44">
        <f t="shared" ref="E200" si="759">+IFERROR(E199/D199-1,"nm")</f>
        <v>-0.65333333333333332</v>
      </c>
      <c r="F200" s="44">
        <f t="shared" ref="F200" si="760">+IFERROR(F199/E199-1,"nm")</f>
        <v>-1.2692307692307692</v>
      </c>
      <c r="G200" s="44">
        <f t="shared" ref="G200" si="761">+IFERROR(G199/F199-1,"nm")</f>
        <v>0.5714285714285714</v>
      </c>
      <c r="H200" s="44">
        <f t="shared" ref="H200" si="762">+IFERROR(H199/G199-1,"nm")</f>
        <v>-4.6363636363636367</v>
      </c>
      <c r="I200" s="44">
        <f t="shared" ref="I200" si="763">+IFERROR(I199/H199-1,"nm")</f>
        <v>-2.8</v>
      </c>
      <c r="J200" s="44">
        <f>Assumptions!B50</f>
        <v>2.5</v>
      </c>
      <c r="K200" s="44">
        <f>Assumptions!C50</f>
        <v>2.5</v>
      </c>
      <c r="L200" s="44">
        <f>Assumptions!D50</f>
        <v>2.5</v>
      </c>
      <c r="M200" s="44">
        <f>Assumptions!E50</f>
        <v>2.5</v>
      </c>
      <c r="N200" s="44">
        <f>Assumptions!F50</f>
        <v>2.5</v>
      </c>
    </row>
    <row r="201" spans="1:16" x14ac:dyDescent="0.3">
      <c r="A201" s="9" t="s">
        <v>129</v>
      </c>
      <c r="B201" s="45">
        <f t="shared" ref="B201:G201" si="764">+B208+B204</f>
        <v>-1022</v>
      </c>
      <c r="C201" s="45">
        <f t="shared" si="764"/>
        <v>-1089</v>
      </c>
      <c r="D201" s="45">
        <f t="shared" si="764"/>
        <v>-633</v>
      </c>
      <c r="E201" s="45">
        <f t="shared" si="764"/>
        <v>-1346</v>
      </c>
      <c r="F201" s="45">
        <f t="shared" si="764"/>
        <v>-1694</v>
      </c>
      <c r="G201" s="45">
        <f t="shared" si="764"/>
        <v>-1855</v>
      </c>
      <c r="H201" s="45">
        <f t="shared" ref="H201" si="765">+H208+H204</f>
        <v>-2120</v>
      </c>
      <c r="I201" s="45">
        <f>+I208+I204</f>
        <v>-2085</v>
      </c>
      <c r="J201" s="45">
        <f>+J199*J203</f>
        <v>33.474228170133827</v>
      </c>
      <c r="K201" s="45">
        <f>+K199*K203</f>
        <v>33.474228170133827</v>
      </c>
      <c r="L201" s="45">
        <f>+L199*L203</f>
        <v>33.474228170133827</v>
      </c>
      <c r="M201" s="45">
        <f>+M199*M203</f>
        <v>33.474228170133827</v>
      </c>
      <c r="N201" s="45">
        <f>+N199*N203</f>
        <v>33.474228170133827</v>
      </c>
      <c r="O201" t="s">
        <v>237</v>
      </c>
    </row>
    <row r="202" spans="1:16" x14ac:dyDescent="0.3">
      <c r="A202" s="43" t="s">
        <v>128</v>
      </c>
      <c r="B202" s="44" t="str">
        <f t="shared" ref="B202" si="766">+IFERROR(B201/A201-1,"nm")</f>
        <v>nm</v>
      </c>
      <c r="C202" s="44">
        <f t="shared" ref="C202" si="767">+IFERROR(C201/B201-1,"nm")</f>
        <v>6.5557729941291498E-2</v>
      </c>
      <c r="D202" s="44">
        <f t="shared" ref="D202" si="768">+IFERROR(D201/C201-1,"nm")</f>
        <v>-0.41873278236914602</v>
      </c>
      <c r="E202" s="44">
        <f t="shared" ref="E202" si="769">+IFERROR(E201/D201-1,"nm")</f>
        <v>1.126382306477093</v>
      </c>
      <c r="F202" s="44">
        <f t="shared" ref="F202" si="770">+IFERROR(F201/E201-1,"nm")</f>
        <v>0.25854383358098065</v>
      </c>
      <c r="G202" s="44">
        <f t="shared" ref="G202" si="771">+IFERROR(G201/F201-1,"nm")</f>
        <v>9.5041322314049603E-2</v>
      </c>
      <c r="H202" s="44">
        <f t="shared" ref="H202" si="772">+IFERROR(H201/G201-1,"nm")</f>
        <v>0.14285714285714279</v>
      </c>
      <c r="I202" s="44">
        <f>+IFERROR(I201/H201-1,"nm")</f>
        <v>-1.650943396226412E-2</v>
      </c>
      <c r="J202" s="44">
        <f>+IFERROR(J201/I201-1,"nm")</f>
        <v>-1.0160547856931097</v>
      </c>
      <c r="K202" s="44">
        <f t="shared" ref="K202" si="773">+IFERROR(K201/J201-1,"nm")</f>
        <v>0</v>
      </c>
      <c r="L202" s="44">
        <f>+IFERROR(L201/K201-1,"nm")</f>
        <v>0</v>
      </c>
      <c r="M202" s="44">
        <f t="shared" ref="M202" si="774">+IFERROR(M201/L201-1,"nm")</f>
        <v>0</v>
      </c>
      <c r="N202" s="44">
        <f t="shared" ref="N202" si="775">+IFERROR(N201/M201-1,"nm")</f>
        <v>0</v>
      </c>
    </row>
    <row r="203" spans="1:16" x14ac:dyDescent="0.3">
      <c r="A203" s="43" t="s">
        <v>130</v>
      </c>
      <c r="B203" s="44">
        <f>+IFERROR(B201/B$199,"nm")</f>
        <v>12.463414634146341</v>
      </c>
      <c r="C203" s="44">
        <f t="shared" ref="C203:I203" si="776">+IFERROR(C201/C$199,"nm")</f>
        <v>12.662790697674419</v>
      </c>
      <c r="D203" s="44">
        <f t="shared" si="776"/>
        <v>-8.44</v>
      </c>
      <c r="E203" s="44">
        <f t="shared" si="776"/>
        <v>-51.769230769230766</v>
      </c>
      <c r="F203" s="44">
        <f t="shared" si="776"/>
        <v>242</v>
      </c>
      <c r="G203" s="44">
        <f t="shared" si="776"/>
        <v>168.63636363636363</v>
      </c>
      <c r="H203" s="44">
        <f t="shared" si="776"/>
        <v>-53</v>
      </c>
      <c r="I203" s="44">
        <f t="shared" si="776"/>
        <v>28.958333333333332</v>
      </c>
      <c r="J203" s="46">
        <f>Assumptions!B51</f>
        <v>30</v>
      </c>
      <c r="K203" s="46">
        <f>Assumptions!C51</f>
        <v>30</v>
      </c>
      <c r="L203" s="46">
        <f>Assumptions!D51</f>
        <v>30</v>
      </c>
      <c r="M203" s="46">
        <f>Assumptions!E51</f>
        <v>30</v>
      </c>
      <c r="N203" s="46">
        <f>Assumptions!F51</f>
        <v>30</v>
      </c>
      <c r="O203" s="46"/>
      <c r="P203" s="46"/>
    </row>
    <row r="204" spans="1:16" x14ac:dyDescent="0.3">
      <c r="A204" s="9" t="s">
        <v>131</v>
      </c>
      <c r="B204" s="9">
        <f>Historicals!B178</f>
        <v>75</v>
      </c>
      <c r="C204" s="9">
        <f>Historicals!C178</f>
        <v>84</v>
      </c>
      <c r="D204" s="9">
        <f>Historicals!D178</f>
        <v>91</v>
      </c>
      <c r="E204" s="9">
        <f>Historicals!E178</f>
        <v>110</v>
      </c>
      <c r="F204" s="9">
        <f>Historicals!F178</f>
        <v>116</v>
      </c>
      <c r="G204" s="9">
        <f>Historicals!G178</f>
        <v>112</v>
      </c>
      <c r="H204" s="9">
        <f>Historicals!H178</f>
        <v>141</v>
      </c>
      <c r="I204" s="9">
        <f>Historicals!I178</f>
        <v>134</v>
      </c>
      <c r="J204" s="9">
        <f>+J207*J214</f>
        <v>-2.1682156430811355</v>
      </c>
      <c r="K204" s="9">
        <f t="shared" ref="K204:N204" si="777">+K207*K214</f>
        <v>-2.2526915772271541</v>
      </c>
      <c r="L204" s="9">
        <f t="shared" si="777"/>
        <v>-2.5342780243805483</v>
      </c>
      <c r="M204" s="9">
        <f t="shared" si="777"/>
        <v>-2.6750712479572454</v>
      </c>
      <c r="N204" s="9">
        <f t="shared" si="777"/>
        <v>-2.8158644715339425</v>
      </c>
    </row>
    <row r="205" spans="1:16" x14ac:dyDescent="0.3">
      <c r="A205" s="43" t="s">
        <v>128</v>
      </c>
      <c r="B205" s="44" t="str">
        <f t="shared" ref="B205" si="778">+IFERROR(B204/A204-1,"nm")</f>
        <v>nm</v>
      </c>
      <c r="C205" s="44">
        <f t="shared" ref="C205" si="779">+IFERROR(C204/B204-1,"nm")</f>
        <v>0.12000000000000011</v>
      </c>
      <c r="D205" s="44">
        <f t="shared" ref="D205" si="780">+IFERROR(D204/C204-1,"nm")</f>
        <v>8.3333333333333259E-2</v>
      </c>
      <c r="E205" s="44">
        <f t="shared" ref="E205" si="781">+IFERROR(E204/D204-1,"nm")</f>
        <v>0.20879120879120872</v>
      </c>
      <c r="F205" s="44">
        <f t="shared" ref="F205" si="782">+IFERROR(F204/E204-1,"nm")</f>
        <v>5.4545454545454453E-2</v>
      </c>
      <c r="G205" s="44">
        <f t="shared" ref="G205" si="783">+IFERROR(G204/F204-1,"nm")</f>
        <v>-3.4482758620689613E-2</v>
      </c>
      <c r="H205" s="44">
        <f t="shared" ref="H205" si="784">+IFERROR(H204/G204-1,"nm")</f>
        <v>0.2589285714285714</v>
      </c>
      <c r="I205" s="44">
        <f>+IFERROR(I204/H204-1,"nm")</f>
        <v>-4.9645390070921946E-2</v>
      </c>
      <c r="J205" s="44">
        <f>+IFERROR(J204/I204-1,"nm")</f>
        <v>-1.0161807137543368</v>
      </c>
      <c r="K205" s="44">
        <f t="shared" ref="K205" si="785">+IFERROR(K204/J204-1,"nm")</f>
        <v>3.8961038961039085E-2</v>
      </c>
      <c r="L205" s="44">
        <f t="shared" ref="L205" si="786">+IFERROR(L204/K204-1,"nm")</f>
        <v>0.125</v>
      </c>
      <c r="M205" s="44">
        <f t="shared" ref="M205" si="787">+IFERROR(M204/L204-1,"nm")</f>
        <v>5.555555555555558E-2</v>
      </c>
      <c r="N205" s="44">
        <f t="shared" ref="N205" si="788">+IFERROR(N204/M204-1,"nm")</f>
        <v>5.2631578947368363E-2</v>
      </c>
    </row>
    <row r="206" spans="1:16" x14ac:dyDescent="0.3">
      <c r="A206" s="43" t="s">
        <v>132</v>
      </c>
      <c r="B206" s="44">
        <f>+IFERROR(B204/B$199,"nm")</f>
        <v>-0.91463414634146345</v>
      </c>
      <c r="C206" s="44">
        <f t="shared" ref="C206:N206" si="789">+IFERROR(C204/C$199,"nm")</f>
        <v>-0.97674418604651159</v>
      </c>
      <c r="D206" s="44">
        <f t="shared" si="789"/>
        <v>1.2133333333333334</v>
      </c>
      <c r="E206" s="44">
        <f t="shared" si="789"/>
        <v>4.2307692307692308</v>
      </c>
      <c r="F206" s="44">
        <f t="shared" si="789"/>
        <v>-16.571428571428573</v>
      </c>
      <c r="G206" s="44">
        <f t="shared" si="789"/>
        <v>-10.181818181818182</v>
      </c>
      <c r="H206" s="44">
        <f t="shared" si="789"/>
        <v>3.5249999999999999</v>
      </c>
      <c r="I206" s="44">
        <f t="shared" si="789"/>
        <v>-1.8611111111111112</v>
      </c>
      <c r="J206" s="44">
        <f t="shared" si="789"/>
        <v>-1.9431805555555552</v>
      </c>
      <c r="K206" s="44">
        <f t="shared" si="789"/>
        <v>-2.0188888888888887</v>
      </c>
      <c r="L206" s="44">
        <f t="shared" si="789"/>
        <v>-2.2712500000000002</v>
      </c>
      <c r="M206" s="44">
        <f t="shared" si="789"/>
        <v>-2.3974305555555557</v>
      </c>
      <c r="N206" s="44">
        <f t="shared" si="789"/>
        <v>-2.5236111111111112</v>
      </c>
    </row>
    <row r="207" spans="1:16" x14ac:dyDescent="0.3">
      <c r="A207" s="43" t="s">
        <v>139</v>
      </c>
      <c r="B207" s="44">
        <f t="shared" ref="B207:H207" si="790">+IFERROR(B204/B214,"nm")</f>
        <v>0.10518934081346423</v>
      </c>
      <c r="C207" s="44">
        <f t="shared" si="790"/>
        <v>8.9647812166488788E-2</v>
      </c>
      <c r="D207" s="44">
        <f t="shared" si="790"/>
        <v>7.3505654281098551E-2</v>
      </c>
      <c r="E207" s="44">
        <f t="shared" si="790"/>
        <v>7.586206896551724E-2</v>
      </c>
      <c r="F207" s="44">
        <f t="shared" si="790"/>
        <v>6.9336521219366412E-2</v>
      </c>
      <c r="G207" s="44">
        <f t="shared" si="790"/>
        <v>5.845511482254697E-2</v>
      </c>
      <c r="H207" s="44">
        <f t="shared" si="790"/>
        <v>7.5401069518716571E-2</v>
      </c>
      <c r="I207" s="44">
        <f>+IFERROR(I204/I214,"nm")</f>
        <v>7.374793615850303E-2</v>
      </c>
      <c r="J207" s="46">
        <f>Assumptions!B52</f>
        <v>7.6999999999999999E-2</v>
      </c>
      <c r="K207" s="46">
        <f>Assumptions!C52</f>
        <v>0.08</v>
      </c>
      <c r="L207" s="46">
        <f>Assumptions!D52</f>
        <v>0.09</v>
      </c>
      <c r="M207" s="46">
        <f>Assumptions!E52</f>
        <v>9.5000000000000001E-2</v>
      </c>
      <c r="N207" s="46">
        <f>Assumptions!F52</f>
        <v>0.1</v>
      </c>
    </row>
    <row r="208" spans="1:16" x14ac:dyDescent="0.3">
      <c r="A208" s="9" t="s">
        <v>133</v>
      </c>
      <c r="B208" s="9">
        <f>Historicals!B145</f>
        <v>-1097</v>
      </c>
      <c r="C208" s="9">
        <f>Historicals!C145</f>
        <v>-1173</v>
      </c>
      <c r="D208" s="9">
        <f>Historicals!D145</f>
        <v>-724</v>
      </c>
      <c r="E208" s="9">
        <f>Historicals!E145</f>
        <v>-1456</v>
      </c>
      <c r="F208" s="9">
        <f>Historicals!F145</f>
        <v>-1810</v>
      </c>
      <c r="G208" s="9">
        <f>Historicals!G145</f>
        <v>-1967</v>
      </c>
      <c r="H208" s="9">
        <f>Historicals!H145</f>
        <v>-2261</v>
      </c>
      <c r="I208" s="9">
        <f>Historicals!I145</f>
        <v>-2219</v>
      </c>
      <c r="J208" s="9">
        <f>+J201-J204</f>
        <v>35.64244381321496</v>
      </c>
      <c r="K208" s="9">
        <f t="shared" ref="K208:N208" si="791">+K201-K204</f>
        <v>35.726919747360981</v>
      </c>
      <c r="L208" s="9">
        <f t="shared" si="791"/>
        <v>36.008506194514375</v>
      </c>
      <c r="M208" s="9">
        <f t="shared" si="791"/>
        <v>36.149299418091076</v>
      </c>
      <c r="N208" s="9">
        <f t="shared" si="791"/>
        <v>36.290092641667769</v>
      </c>
      <c r="O208" t="s">
        <v>237</v>
      </c>
    </row>
    <row r="209" spans="1:14" x14ac:dyDescent="0.3">
      <c r="A209" s="43" t="s">
        <v>128</v>
      </c>
      <c r="B209" s="44" t="str">
        <f t="shared" ref="B209" si="792">+IFERROR(B208/A208-1,"nm")</f>
        <v>nm</v>
      </c>
      <c r="C209" s="44">
        <f t="shared" ref="C209" si="793">+IFERROR(C208/B208-1,"nm")</f>
        <v>6.9279854147675568E-2</v>
      </c>
      <c r="D209" s="44">
        <f t="shared" ref="D209" si="794">+IFERROR(D208/C208-1,"nm")</f>
        <v>-0.38277919863597609</v>
      </c>
      <c r="E209" s="44">
        <f t="shared" ref="E209" si="795">+IFERROR(E208/D208-1,"nm")</f>
        <v>1.0110497237569063</v>
      </c>
      <c r="F209" s="44">
        <f t="shared" ref="F209" si="796">+IFERROR(F208/E208-1,"nm")</f>
        <v>0.24313186813186816</v>
      </c>
      <c r="G209" s="44">
        <f t="shared" ref="G209" si="797">+IFERROR(G208/F208-1,"nm")</f>
        <v>8.6740331491712785E-2</v>
      </c>
      <c r="H209" s="44">
        <f t="shared" ref="H209" si="798">+IFERROR(H208/G208-1,"nm")</f>
        <v>0.14946619217081847</v>
      </c>
      <c r="I209" s="44">
        <f>+IFERROR(I208/H208-1,"nm")</f>
        <v>-1.8575851393188847E-2</v>
      </c>
      <c r="J209" s="44">
        <f>+IFERROR(J208/I208-1,"nm")</f>
        <v>-1.0160623901817103</v>
      </c>
      <c r="K209" s="44">
        <f t="shared" ref="K209" si="799">+IFERROR(K208/J208-1,"nm")</f>
        <v>2.3700937732753502E-3</v>
      </c>
      <c r="L209" s="44">
        <f t="shared" ref="L209" si="800">+IFERROR(L208/K208-1,"nm")</f>
        <v>7.881632369781677E-3</v>
      </c>
      <c r="M209" s="44">
        <f t="shared" ref="M209" si="801">+IFERROR(M208/L208-1,"nm")</f>
        <v>3.9099990101270077E-3</v>
      </c>
      <c r="N209" s="44">
        <f t="shared" ref="N209" si="802">+IFERROR(N208/M208-1,"nm")</f>
        <v>3.8947704614777923E-3</v>
      </c>
    </row>
    <row r="210" spans="1:14" x14ac:dyDescent="0.3">
      <c r="A210" s="43" t="s">
        <v>130</v>
      </c>
      <c r="B210" s="44">
        <f>+IFERROR(B208/B$199,"nm")</f>
        <v>13.378048780487806</v>
      </c>
      <c r="C210" s="44">
        <f t="shared" ref="C210:N210" si="803">+IFERROR(C208/C$199,"nm")</f>
        <v>13.63953488372093</v>
      </c>
      <c r="D210" s="44">
        <f t="shared" si="803"/>
        <v>-9.6533333333333342</v>
      </c>
      <c r="E210" s="44">
        <f t="shared" si="803"/>
        <v>-56</v>
      </c>
      <c r="F210" s="44">
        <f t="shared" si="803"/>
        <v>258.57142857142856</v>
      </c>
      <c r="G210" s="44">
        <f t="shared" si="803"/>
        <v>178.81818181818181</v>
      </c>
      <c r="H210" s="44">
        <f t="shared" si="803"/>
        <v>-56.524999999999999</v>
      </c>
      <c r="I210" s="44">
        <f t="shared" si="803"/>
        <v>30.819444444444443</v>
      </c>
      <c r="J210" s="44">
        <f>+IFERROR(J208/J$199,"nm")</f>
        <v>31.943180555555557</v>
      </c>
      <c r="K210" s="44">
        <f t="shared" si="803"/>
        <v>32.018888888888888</v>
      </c>
      <c r="L210" s="44">
        <f t="shared" si="803"/>
        <v>32.271250000000002</v>
      </c>
      <c r="M210" s="44">
        <f t="shared" si="803"/>
        <v>32.397430555555559</v>
      </c>
      <c r="N210" s="44">
        <f t="shared" si="803"/>
        <v>32.523611111111116</v>
      </c>
    </row>
    <row r="211" spans="1:14" x14ac:dyDescent="0.3">
      <c r="A211" s="9" t="s">
        <v>134</v>
      </c>
      <c r="B211" s="9">
        <f>Historicals!B167</f>
        <v>104</v>
      </c>
      <c r="C211" s="9">
        <f>Historicals!C167</f>
        <v>264</v>
      </c>
      <c r="D211" s="9">
        <f>Historicals!D167</f>
        <v>291</v>
      </c>
      <c r="E211" s="9">
        <f>Historicals!E167</f>
        <v>159</v>
      </c>
      <c r="F211" s="9">
        <f>Historicals!F167</f>
        <v>62</v>
      </c>
      <c r="G211" s="9">
        <f>Historicals!G167</f>
        <v>318</v>
      </c>
      <c r="H211" s="9">
        <f>Historicals!H167</f>
        <v>11</v>
      </c>
      <c r="I211" s="9">
        <f>Historicals!I167</f>
        <v>50</v>
      </c>
      <c r="J211" s="45">
        <f>+J199*J213</f>
        <v>-0.77486639282717185</v>
      </c>
      <c r="K211" s="45">
        <f>+K199*K213</f>
        <v>-0.77486639282717185</v>
      </c>
      <c r="L211" s="45">
        <f>+L199*L213</f>
        <v>-0.77486639282717185</v>
      </c>
      <c r="M211" s="45">
        <f>+M199*M213</f>
        <v>-0.77486639282717185</v>
      </c>
      <c r="N211" s="45">
        <f>+N199*N213</f>
        <v>-0.77486639282717185</v>
      </c>
    </row>
    <row r="212" spans="1:14" x14ac:dyDescent="0.3">
      <c r="A212" s="43" t="s">
        <v>128</v>
      </c>
      <c r="B212" s="44" t="str">
        <f t="shared" ref="B212" si="804">+IFERROR(B211/A211-1,"nm")</f>
        <v>nm</v>
      </c>
      <c r="C212" s="44">
        <f t="shared" ref="C212" si="805">+IFERROR(C211/B211-1,"nm")</f>
        <v>1.5384615384615383</v>
      </c>
      <c r="D212" s="44">
        <f t="shared" ref="D212" si="806">+IFERROR(D211/C211-1,"nm")</f>
        <v>0.10227272727272729</v>
      </c>
      <c r="E212" s="44">
        <f t="shared" ref="E212" si="807">+IFERROR(E211/D211-1,"nm")</f>
        <v>-0.45360824742268047</v>
      </c>
      <c r="F212" s="44">
        <f t="shared" ref="F212" si="808">+IFERROR(F211/E211-1,"nm")</f>
        <v>-0.61006289308176098</v>
      </c>
      <c r="G212" s="44">
        <f t="shared" ref="G212" si="809">+IFERROR(G211/F211-1,"nm")</f>
        <v>4.129032258064516</v>
      </c>
      <c r="H212" s="44">
        <f t="shared" ref="H212" si="810">+IFERROR(H211/G211-1,"nm")</f>
        <v>-0.96540880503144655</v>
      </c>
      <c r="I212" s="44">
        <f>+IFERROR(I211/H211-1,"nm")</f>
        <v>3.5454545454545459</v>
      </c>
      <c r="J212" s="44">
        <f>+IFERROR(J211/I211-1,"nm")</f>
        <v>-1.0154973278565433</v>
      </c>
      <c r="K212" s="44">
        <f t="shared" ref="K212" si="811">+IFERROR(K211/J211-1,"nm")</f>
        <v>0</v>
      </c>
      <c r="L212" s="44">
        <f t="shared" ref="L212" si="812">+IFERROR(L211/K211-1,"nm")</f>
        <v>0</v>
      </c>
      <c r="M212" s="44">
        <f t="shared" ref="M212" si="813">+IFERROR(M211/L211-1,"nm")</f>
        <v>0</v>
      </c>
      <c r="N212" s="44">
        <f t="shared" ref="N212" si="814">+IFERROR(N211/M211-1,"nm")</f>
        <v>0</v>
      </c>
    </row>
    <row r="213" spans="1:14" x14ac:dyDescent="0.3">
      <c r="A213" s="43" t="s">
        <v>132</v>
      </c>
      <c r="B213" s="44">
        <f>+IFERROR(B211/B$199,"nm")</f>
        <v>-1.2682926829268293</v>
      </c>
      <c r="C213" s="44">
        <f t="shared" ref="C213:I213" si="815">+IFERROR(C211/C$199,"nm")</f>
        <v>-3.0697674418604652</v>
      </c>
      <c r="D213" s="44">
        <f t="shared" si="815"/>
        <v>3.88</v>
      </c>
      <c r="E213" s="44">
        <f t="shared" si="815"/>
        <v>6.115384615384615</v>
      </c>
      <c r="F213" s="44">
        <f t="shared" si="815"/>
        <v>-8.8571428571428577</v>
      </c>
      <c r="G213" s="44">
        <f t="shared" si="815"/>
        <v>-28.90909090909091</v>
      </c>
      <c r="H213" s="44">
        <f t="shared" si="815"/>
        <v>0.27500000000000002</v>
      </c>
      <c r="I213" s="44">
        <f t="shared" si="815"/>
        <v>-0.69444444444444442</v>
      </c>
      <c r="J213" s="46">
        <f>+I213</f>
        <v>-0.69444444444444442</v>
      </c>
      <c r="K213" s="46">
        <f t="shared" ref="K213" si="816">+J213</f>
        <v>-0.69444444444444442</v>
      </c>
      <c r="L213" s="46">
        <f t="shared" ref="L213" si="817">+K213</f>
        <v>-0.69444444444444442</v>
      </c>
      <c r="M213" s="46">
        <f t="shared" ref="M213" si="818">+L213</f>
        <v>-0.69444444444444442</v>
      </c>
      <c r="N213" s="46">
        <f t="shared" ref="N213" si="819">+M213</f>
        <v>-0.69444444444444442</v>
      </c>
    </row>
    <row r="214" spans="1:14" x14ac:dyDescent="0.3">
      <c r="A214" s="9" t="s">
        <v>140</v>
      </c>
      <c r="B214" s="9">
        <f>Historicals!B156</f>
        <v>713</v>
      </c>
      <c r="C214" s="9">
        <f>Historicals!C156</f>
        <v>937</v>
      </c>
      <c r="D214" s="9">
        <f>Historicals!D156</f>
        <v>1238</v>
      </c>
      <c r="E214" s="9">
        <f>Historicals!E156</f>
        <v>1450</v>
      </c>
      <c r="F214" s="9">
        <f>Historicals!F156</f>
        <v>1673</v>
      </c>
      <c r="G214" s="9">
        <f>Historicals!G156</f>
        <v>1916</v>
      </c>
      <c r="H214" s="9">
        <f>Historicals!H156</f>
        <v>1870</v>
      </c>
      <c r="I214" s="9">
        <f>Historicals!I156</f>
        <v>1817</v>
      </c>
      <c r="J214" s="45">
        <f>+J199*J216</f>
        <v>-28.158644715339424</v>
      </c>
      <c r="K214" s="45">
        <f>+K199*K216</f>
        <v>-28.158644715339424</v>
      </c>
      <c r="L214" s="45">
        <f>+L199*L216</f>
        <v>-28.158644715339424</v>
      </c>
      <c r="M214" s="45">
        <f>+M199*M216</f>
        <v>-28.158644715339424</v>
      </c>
      <c r="N214" s="45">
        <f>+N199*N216</f>
        <v>-28.158644715339424</v>
      </c>
    </row>
    <row r="215" spans="1:14" x14ac:dyDescent="0.3">
      <c r="A215" s="43" t="s">
        <v>128</v>
      </c>
      <c r="B215" s="44" t="str">
        <f t="shared" ref="B215" si="820">+IFERROR(B214/A214-1,"nm")</f>
        <v>nm</v>
      </c>
      <c r="C215" s="44">
        <f t="shared" ref="C215" si="821">+IFERROR(C214/B214-1,"nm")</f>
        <v>0.31416549789621318</v>
      </c>
      <c r="D215" s="44">
        <f t="shared" ref="D215" si="822">+IFERROR(D214/C214-1,"nm")</f>
        <v>0.32123799359658478</v>
      </c>
      <c r="E215" s="44">
        <f t="shared" ref="E215" si="823">+IFERROR(E214/D214-1,"nm")</f>
        <v>0.17124394184168024</v>
      </c>
      <c r="F215" s="44">
        <f t="shared" ref="F215" si="824">+IFERROR(F214/E214-1,"nm")</f>
        <v>0.15379310344827579</v>
      </c>
      <c r="G215" s="44">
        <f t="shared" ref="G215" si="825">+IFERROR(G214/F214-1,"nm")</f>
        <v>0.14524805738194857</v>
      </c>
      <c r="H215" s="44">
        <f t="shared" ref="H215" si="826">+IFERROR(H214/G214-1,"nm")</f>
        <v>-2.4008350730688965E-2</v>
      </c>
      <c r="I215" s="44">
        <f>+IFERROR(I214/H214-1,"nm")</f>
        <v>-2.8342245989304793E-2</v>
      </c>
      <c r="J215" s="44">
        <f>+J216+J217</f>
        <v>-25.236111111111111</v>
      </c>
      <c r="K215" s="44">
        <f t="shared" ref="K215:N215" si="827">+K216+K217</f>
        <v>-25.236111111111111</v>
      </c>
      <c r="L215" s="44">
        <f t="shared" si="827"/>
        <v>-25.236111111111111</v>
      </c>
      <c r="M215" s="44">
        <f t="shared" si="827"/>
        <v>-25.236111111111111</v>
      </c>
      <c r="N215" s="44">
        <f t="shared" si="827"/>
        <v>-25.236111111111111</v>
      </c>
    </row>
    <row r="216" spans="1:14" x14ac:dyDescent="0.3">
      <c r="A216" s="43" t="s">
        <v>132</v>
      </c>
      <c r="B216" s="44">
        <f>+IFERROR(B214/B$199,"nm")</f>
        <v>-8.6951219512195124</v>
      </c>
      <c r="C216" s="44">
        <f t="shared" ref="C216:I216" si="828">+IFERROR(C214/C$199,"nm")</f>
        <v>-10.895348837209303</v>
      </c>
      <c r="D216" s="44">
        <f t="shared" si="828"/>
        <v>16.506666666666668</v>
      </c>
      <c r="E216" s="44">
        <f t="shared" si="828"/>
        <v>55.769230769230766</v>
      </c>
      <c r="F216" s="44">
        <f t="shared" si="828"/>
        <v>-239</v>
      </c>
      <c r="G216" s="44">
        <f t="shared" si="828"/>
        <v>-174.18181818181819</v>
      </c>
      <c r="H216" s="44">
        <f t="shared" si="828"/>
        <v>46.75</v>
      </c>
      <c r="I216" s="44">
        <f t="shared" si="828"/>
        <v>-25.236111111111111</v>
      </c>
      <c r="J216" s="46">
        <f>+I216</f>
        <v>-25.236111111111111</v>
      </c>
      <c r="K216" s="46">
        <f t="shared" ref="K216" si="829">+J216</f>
        <v>-25.236111111111111</v>
      </c>
      <c r="L216" s="46">
        <f t="shared" ref="L216" si="830">+K216</f>
        <v>-25.236111111111111</v>
      </c>
      <c r="M216" s="46">
        <f t="shared" ref="M216" si="831">+L216</f>
        <v>-25.236111111111111</v>
      </c>
      <c r="N216" s="46">
        <f t="shared" ref="N216" si="832">+M216</f>
        <v>-25.236111111111111</v>
      </c>
    </row>
  </sheetData>
  <pageMargins left="0.7" right="0.7" top="0.75" bottom="0.75" header="0.3" footer="0.3"/>
  <pageSetup paperSize="9" orientation="portrait" r:id="rId1"/>
  <ignoredErrors>
    <ignoredError sqref="B23:I23 I18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60F8-1E61-497E-9242-2A7E3534D462}">
  <dimension ref="A1:O78"/>
  <sheetViews>
    <sheetView zoomScale="85" zoomScaleNormal="85" workbookViewId="0">
      <selection activeCell="J5" sqref="J5"/>
    </sheetView>
  </sheetViews>
  <sheetFormatPr defaultRowHeight="14.4" x14ac:dyDescent="0.3"/>
  <cols>
    <col min="1" max="1" width="48.6640625" customWidth="1"/>
    <col min="2" max="14" width="11.6640625" customWidth="1"/>
    <col min="15" max="15" width="39.88671875" customWidth="1"/>
  </cols>
  <sheetData>
    <row r="1" spans="1:15" ht="60" customHeight="1" x14ac:dyDescent="0.3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7">
        <f>+I1+1</f>
        <v>2023</v>
      </c>
      <c r="K1" s="37">
        <f t="shared" ref="K1:N1" si="1">+J1+1</f>
        <v>2024</v>
      </c>
      <c r="L1" s="37">
        <f t="shared" si="1"/>
        <v>2025</v>
      </c>
      <c r="M1" s="37">
        <f t="shared" si="1"/>
        <v>2026</v>
      </c>
      <c r="N1" s="37">
        <f t="shared" si="1"/>
        <v>2027</v>
      </c>
    </row>
    <row r="2" spans="1:15" x14ac:dyDescent="0.3">
      <c r="A2" s="38" t="s">
        <v>145</v>
      </c>
      <c r="B2" s="38"/>
      <c r="C2" s="38"/>
      <c r="D2" s="38"/>
      <c r="E2" s="38"/>
      <c r="F2" s="38"/>
      <c r="G2" s="38"/>
      <c r="H2" s="38"/>
      <c r="I2" s="38"/>
      <c r="J2" s="37"/>
      <c r="K2" s="37"/>
      <c r="L2" s="37"/>
      <c r="M2" s="37"/>
      <c r="N2" s="37"/>
    </row>
    <row r="3" spans="1:15" x14ac:dyDescent="0.3">
      <c r="A3" s="1" t="s">
        <v>135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51686.757807605674</v>
      </c>
      <c r="K3" s="9">
        <f>'Segmental forecast'!K3</f>
        <v>57385.102255605678</v>
      </c>
      <c r="L3" s="9">
        <f>'Segmental forecast'!L3</f>
        <v>64408.962873445678</v>
      </c>
      <c r="M3" s="9">
        <f>'Segmental forecast'!M3</f>
        <v>73145.59127933468</v>
      </c>
      <c r="N3" s="9">
        <f>'Segmental forecast'!N3</f>
        <v>82554.184835235719</v>
      </c>
      <c r="O3" t="s">
        <v>146</v>
      </c>
    </row>
    <row r="4" spans="1:15" x14ac:dyDescent="0.3">
      <c r="A4" s="40" t="s">
        <v>128</v>
      </c>
      <c r="B4" s="51" t="str">
        <f>'Segmental forecast'!B4</f>
        <v>nm</v>
      </c>
      <c r="C4" s="51">
        <f>'Segmental forecast'!C4</f>
        <v>5.8004640371229765E-2</v>
      </c>
      <c r="D4" s="51">
        <f>'Segmental forecast'!D4</f>
        <v>6.0971089696071123E-2</v>
      </c>
      <c r="E4" s="51">
        <f>'Segmental forecast'!E4</f>
        <v>5.95924308588065E-2</v>
      </c>
      <c r="F4" s="51">
        <f>'Segmental forecast'!F4</f>
        <v>7.4731433909388079E-2</v>
      </c>
      <c r="G4" s="51">
        <f>'Segmental forecast'!G4</f>
        <v>-4.3817266150267153E-2</v>
      </c>
      <c r="H4" s="51">
        <f>'Segmental forecast'!H4</f>
        <v>0.19076009945726269</v>
      </c>
      <c r="I4" s="51">
        <f>'Segmental forecast'!I4</f>
        <v>4.8767344739323759E-2</v>
      </c>
      <c r="J4" s="51">
        <f>'Segmental forecast'!J4</f>
        <v>0.1065458747078929</v>
      </c>
      <c r="K4" s="51">
        <f>'Segmental forecast'!K4</f>
        <v>0.11024766670819308</v>
      </c>
      <c r="L4" s="51">
        <f>'Segmental forecast'!L4</f>
        <v>0.12239867738762933</v>
      </c>
      <c r="M4" s="51">
        <f>'Segmental forecast'!M4</f>
        <v>0.13564305363921503</v>
      </c>
      <c r="N4" s="51">
        <f>'Segmental forecast'!N4</f>
        <v>0.1286283067966556</v>
      </c>
    </row>
    <row r="5" spans="1:15" x14ac:dyDescent="0.3">
      <c r="A5" s="1" t="s">
        <v>129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13902.366878170136</v>
      </c>
      <c r="K5" s="9">
        <f>'Segmental forecast'!K5</f>
        <v>15907.838902570134</v>
      </c>
      <c r="L5" s="9">
        <f>'Segmental forecast'!L5</f>
        <v>18405.639182672134</v>
      </c>
      <c r="M5" s="9">
        <f>'Segmental forecast'!M5</f>
        <v>21543.68678499628</v>
      </c>
      <c r="N5" s="9">
        <f>'Segmental forecast'!N5</f>
        <v>25088.373533231475</v>
      </c>
    </row>
    <row r="6" spans="1:15" x14ac:dyDescent="0.3">
      <c r="A6" s="52" t="s">
        <v>131</v>
      </c>
      <c r="B6" s="53">
        <f>'Segmental forecast'!B8</f>
        <v>606</v>
      </c>
      <c r="C6" s="53">
        <f>'Segmental forecast'!C8</f>
        <v>649</v>
      </c>
      <c r="D6" s="53">
        <f>'Segmental forecast'!D8</f>
        <v>706</v>
      </c>
      <c r="E6" s="53">
        <f>'Segmental forecast'!E8</f>
        <v>747</v>
      </c>
      <c r="F6" s="53">
        <f>'Segmental forecast'!F8</f>
        <v>705</v>
      </c>
      <c r="G6" s="53">
        <f>'Segmental forecast'!G8</f>
        <v>721</v>
      </c>
      <c r="H6" s="53">
        <f>'Segmental forecast'!H8</f>
        <v>744</v>
      </c>
      <c r="I6" s="53">
        <f>'Segmental forecast'!I8</f>
        <v>717</v>
      </c>
      <c r="J6" s="53">
        <f>'Segmental forecast'!J8</f>
        <v>700.11582495691891</v>
      </c>
      <c r="K6" s="53">
        <f>'Segmental forecast'!K8</f>
        <v>759.30126092757291</v>
      </c>
      <c r="L6" s="53">
        <f>'Segmental forecast'!L8</f>
        <v>831.76987792042962</v>
      </c>
      <c r="M6" s="53">
        <f>'Segmental forecast'!M8</f>
        <v>922.11970452286153</v>
      </c>
      <c r="N6" s="53">
        <f>'Segmental forecast'!N8</f>
        <v>1015.6715750853364</v>
      </c>
    </row>
    <row r="7" spans="1:15" x14ac:dyDescent="0.3">
      <c r="A7" s="4" t="s">
        <v>133</v>
      </c>
      <c r="B7" s="5">
        <f>+B5-B6</f>
        <v>4233</v>
      </c>
      <c r="C7" s="5">
        <f t="shared" ref="C7:N7" si="2">+C5-C6</f>
        <v>4642</v>
      </c>
      <c r="D7" s="5">
        <f t="shared" si="2"/>
        <v>4945</v>
      </c>
      <c r="E7" s="5">
        <f t="shared" si="2"/>
        <v>4379</v>
      </c>
      <c r="F7" s="5">
        <f t="shared" si="2"/>
        <v>4850</v>
      </c>
      <c r="G7" s="5">
        <f t="shared" si="2"/>
        <v>2976</v>
      </c>
      <c r="H7" s="5">
        <f t="shared" si="2"/>
        <v>6923</v>
      </c>
      <c r="I7" s="5">
        <f t="shared" si="2"/>
        <v>6856</v>
      </c>
      <c r="J7" s="5">
        <f t="shared" si="2"/>
        <v>13202.251053213218</v>
      </c>
      <c r="K7" s="5">
        <f t="shared" si="2"/>
        <v>15148.537641642561</v>
      </c>
      <c r="L7" s="5">
        <f t="shared" si="2"/>
        <v>17573.869304751704</v>
      </c>
      <c r="M7" s="5">
        <f t="shared" si="2"/>
        <v>20621.567080473418</v>
      </c>
      <c r="N7" s="5">
        <f t="shared" si="2"/>
        <v>24072.701958146139</v>
      </c>
    </row>
    <row r="8" spans="1:15" x14ac:dyDescent="0.3">
      <c r="A8" s="40" t="s">
        <v>128</v>
      </c>
      <c r="B8" s="51" t="str">
        <f>'Segmental forecast'!B12</f>
        <v>nm</v>
      </c>
      <c r="C8" s="51">
        <f>'Segmental forecast'!C12</f>
        <v>9.6621781242617555E-2</v>
      </c>
      <c r="D8" s="51">
        <f>'Segmental forecast'!D12</f>
        <v>6.5273588970271357E-2</v>
      </c>
      <c r="E8" s="51">
        <f>'Segmental forecast'!E12</f>
        <v>-0.11445904954499497</v>
      </c>
      <c r="F8" s="51">
        <f>'Segmental forecast'!F12</f>
        <v>0.10755880337976698</v>
      </c>
      <c r="G8" s="51">
        <f>'Segmental forecast'!G12</f>
        <v>-0.38639175257731961</v>
      </c>
      <c r="H8" s="51">
        <f>'Segmental forecast'!H12</f>
        <v>1.32627688172043</v>
      </c>
      <c r="I8" s="51">
        <f>'Segmental forecast'!I12</f>
        <v>-9.67788530983682E-3</v>
      </c>
      <c r="J8" s="51">
        <f>'Segmental forecast'!J12</f>
        <v>0.92564922013028261</v>
      </c>
      <c r="K8" s="51">
        <f>'Segmental forecast'!K12</f>
        <v>0.14742081335861634</v>
      </c>
      <c r="L8" s="51">
        <f>'Segmental forecast'!L12</f>
        <v>0.16010335257985764</v>
      </c>
      <c r="M8" s="51">
        <f>'Segmental forecast'!M12</f>
        <v>0.17342212593430761</v>
      </c>
      <c r="N8" s="51">
        <f>'Segmental forecast'!N12</f>
        <v>0.16735560707898878</v>
      </c>
    </row>
    <row r="9" spans="1:15" x14ac:dyDescent="0.3">
      <c r="A9" s="40" t="s">
        <v>130</v>
      </c>
      <c r="B9" s="51">
        <f>'Segmental forecast'!B13</f>
        <v>0.13832881278389594</v>
      </c>
      <c r="C9" s="51">
        <f>'Segmental forecast'!C13</f>
        <v>0.14337781072399308</v>
      </c>
      <c r="D9" s="51">
        <f>'Segmental forecast'!D13</f>
        <v>0.14395924308588065</v>
      </c>
      <c r="E9" s="51">
        <f>'Segmental forecast'!E13</f>
        <v>0.12031211363573921</v>
      </c>
      <c r="F9" s="51">
        <f>'Segmental forecast'!F13</f>
        <v>0.12398701331901731</v>
      </c>
      <c r="G9" s="51">
        <f>'Segmental forecast'!G13</f>
        <v>7.9565810229126011E-2</v>
      </c>
      <c r="H9" s="51">
        <f>'Segmental forecast'!H13</f>
        <v>0.1554402981723472</v>
      </c>
      <c r="I9" s="51">
        <f>'Segmental forecast'!I13</f>
        <v>0.14677799186469706</v>
      </c>
      <c r="J9" s="51">
        <f>'Segmental forecast'!J13</f>
        <v>0.25542811376090058</v>
      </c>
      <c r="K9" s="51">
        <f>'Segmental forecast'!K13</f>
        <v>0.26398031973817337</v>
      </c>
      <c r="L9" s="51">
        <f>'Segmental forecast'!L13</f>
        <v>0.27284819566621221</v>
      </c>
      <c r="M9" s="51">
        <f>'Segmental forecast'!M13</f>
        <v>0.28192494885606983</v>
      </c>
      <c r="N9" s="51">
        <f>'Segmental forecast'!N13</f>
        <v>0.29159880878469341</v>
      </c>
    </row>
    <row r="10" spans="1:15" x14ac:dyDescent="0.3">
      <c r="A10" s="2" t="s">
        <v>23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I10*(1+J8)</f>
        <v>394.75809012670794</v>
      </c>
      <c r="K10" s="3">
        <f t="shared" ref="K10:N10" si="3">J10*(1+K8)</f>
        <v>452.95364885308118</v>
      </c>
      <c r="L10" s="3">
        <f t="shared" si="3"/>
        <v>525.47304659773908</v>
      </c>
      <c r="M10" s="3">
        <f t="shared" si="3"/>
        <v>616.60169945989651</v>
      </c>
      <c r="N10" s="3">
        <f t="shared" si="3"/>
        <v>719.79345119894367</v>
      </c>
    </row>
    <row r="11" spans="1:15" x14ac:dyDescent="0.3">
      <c r="A11" s="4" t="s">
        <v>147</v>
      </c>
      <c r="B11" s="5">
        <f>+B7-B10</f>
        <v>4205</v>
      </c>
      <c r="C11" s="5">
        <f t="shared" ref="C11:I11" si="4">+C7-C10</f>
        <v>4623</v>
      </c>
      <c r="D11" s="5">
        <f t="shared" si="4"/>
        <v>4886</v>
      </c>
      <c r="E11" s="5">
        <f t="shared" si="4"/>
        <v>4325</v>
      </c>
      <c r="F11" s="5">
        <f t="shared" si="4"/>
        <v>4801</v>
      </c>
      <c r="G11" s="5">
        <f t="shared" si="4"/>
        <v>2887</v>
      </c>
      <c r="H11" s="5">
        <f t="shared" si="4"/>
        <v>6661</v>
      </c>
      <c r="I11" s="5">
        <f t="shared" si="4"/>
        <v>6651</v>
      </c>
      <c r="J11" s="5">
        <f t="shared" ref="J11" si="5">+J7-J10</f>
        <v>12807.49296308651</v>
      </c>
      <c r="K11" s="5">
        <f t="shared" ref="K11" si="6">+K7-K10</f>
        <v>14695.583992789479</v>
      </c>
      <c r="L11" s="5">
        <f t="shared" ref="L11" si="7">+L7-L10</f>
        <v>17048.396258153967</v>
      </c>
      <c r="M11" s="5">
        <f t="shared" ref="M11" si="8">+M7-M10</f>
        <v>20004.965381013521</v>
      </c>
      <c r="N11" s="5">
        <f t="shared" ref="N11" si="9">+N7-N10</f>
        <v>23352.908506947195</v>
      </c>
    </row>
    <row r="12" spans="1:15" x14ac:dyDescent="0.3">
      <c r="A12" t="s">
        <v>25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J11*I13</f>
        <v>1165.0177781788209</v>
      </c>
      <c r="K12" s="3">
        <f t="shared" ref="K12:N12" si="10">K11*J13</f>
        <v>1336.7656466151907</v>
      </c>
      <c r="L12" s="3">
        <f t="shared" si="10"/>
        <v>1550.7863082518641</v>
      </c>
      <c r="M12" s="3">
        <f t="shared" si="10"/>
        <v>1819.7269666987186</v>
      </c>
      <c r="N12" s="3">
        <f t="shared" si="10"/>
        <v>2124.2684779285896</v>
      </c>
    </row>
    <row r="13" spans="1:15" x14ac:dyDescent="0.3">
      <c r="A13" s="54" t="s">
        <v>148</v>
      </c>
      <c r="B13" s="55">
        <f>IFERROR(B12/B11,"nm")</f>
        <v>0.22164090368608799</v>
      </c>
      <c r="C13" s="55">
        <f t="shared" ref="C13:G13" si="11">IFERROR(C12/C11,"nm")</f>
        <v>0.18667531905688947</v>
      </c>
      <c r="D13" s="55">
        <f t="shared" si="11"/>
        <v>0.13221449038067951</v>
      </c>
      <c r="E13" s="55">
        <f t="shared" si="11"/>
        <v>0.55306358381502885</v>
      </c>
      <c r="F13" s="55">
        <f t="shared" si="11"/>
        <v>0.16079983336804832</v>
      </c>
      <c r="G13" s="55">
        <f t="shared" si="11"/>
        <v>0.12054035330793211</v>
      </c>
      <c r="H13" s="55">
        <f>IFERROR(H12/H11,"nm")</f>
        <v>0.14021918630836211</v>
      </c>
      <c r="I13" s="55">
        <f>IFERROR(I12/I11,"nm")</f>
        <v>9.0963764847391368E-2</v>
      </c>
      <c r="J13" s="55">
        <f t="shared" ref="J13" si="12">IFERROR(J12/J11,"nm")</f>
        <v>9.0963764847391354E-2</v>
      </c>
      <c r="K13" s="55">
        <f t="shared" ref="K13" si="13">IFERROR(K12/K11,"nm")</f>
        <v>9.0963764847391354E-2</v>
      </c>
      <c r="L13" s="55">
        <f t="shared" ref="L13" si="14">IFERROR(L12/L11,"nm")</f>
        <v>9.0963764847391354E-2</v>
      </c>
      <c r="M13" s="55">
        <f t="shared" ref="M13" si="15">IFERROR(M12/M11,"nm")</f>
        <v>9.0963764847391354E-2</v>
      </c>
      <c r="N13" s="55">
        <f t="shared" ref="N13" si="16">IFERROR(N12/N11,"nm")</f>
        <v>9.0963764847391354E-2</v>
      </c>
    </row>
    <row r="14" spans="1:15" ht="15" thickBot="1" x14ac:dyDescent="0.35">
      <c r="A14" s="6" t="s">
        <v>149</v>
      </c>
      <c r="B14" s="7">
        <f>+B11-B12</f>
        <v>3273</v>
      </c>
      <c r="C14" s="7">
        <f t="shared" ref="C14:N14" si="17">+C11-C12</f>
        <v>3760</v>
      </c>
      <c r="D14" s="7">
        <f t="shared" si="17"/>
        <v>4240</v>
      </c>
      <c r="E14" s="7">
        <f t="shared" si="17"/>
        <v>1933</v>
      </c>
      <c r="F14" s="7">
        <f t="shared" si="17"/>
        <v>4029</v>
      </c>
      <c r="G14" s="7">
        <f t="shared" si="17"/>
        <v>2539</v>
      </c>
      <c r="H14" s="7">
        <f t="shared" si="17"/>
        <v>5727</v>
      </c>
      <c r="I14" s="7">
        <f t="shared" si="17"/>
        <v>6046</v>
      </c>
      <c r="J14" s="7">
        <f t="shared" si="17"/>
        <v>11642.475184907689</v>
      </c>
      <c r="K14" s="7">
        <f t="shared" si="17"/>
        <v>13358.818346174288</v>
      </c>
      <c r="L14" s="7">
        <f t="shared" si="17"/>
        <v>15497.609949902104</v>
      </c>
      <c r="M14" s="7">
        <f t="shared" si="17"/>
        <v>18185.238414314801</v>
      </c>
      <c r="N14" s="7">
        <f t="shared" si="17"/>
        <v>21228.640029018607</v>
      </c>
    </row>
    <row r="15" spans="1:15" ht="15" thickTop="1" x14ac:dyDescent="0.3">
      <c r="A15" t="s">
        <v>150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1591.9</v>
      </c>
      <c r="H15" s="3">
        <f>Historicals!H18</f>
        <v>1609.4</v>
      </c>
      <c r="I15" s="3">
        <f>Historicals!I18</f>
        <v>1610.8</v>
      </c>
      <c r="J15" s="3">
        <f>I15+2</f>
        <v>1612.8</v>
      </c>
      <c r="K15" s="3">
        <f t="shared" ref="K15:N15" si="18">J15+2</f>
        <v>1614.8</v>
      </c>
      <c r="L15" s="3">
        <f t="shared" si="18"/>
        <v>1616.8</v>
      </c>
      <c r="M15" s="3">
        <f t="shared" si="18"/>
        <v>1618.8</v>
      </c>
      <c r="N15" s="3">
        <f t="shared" si="18"/>
        <v>1620.8</v>
      </c>
    </row>
    <row r="16" spans="1:15" x14ac:dyDescent="0.3">
      <c r="A16" t="s">
        <v>151</v>
      </c>
      <c r="B16" s="57">
        <f>IFERROR(B14/B15,"nm")</f>
        <v>1.8504070556309362</v>
      </c>
      <c r="C16" s="57">
        <f t="shared" ref="C16:H16" si="19">IFERROR(C14/C15,"nm")</f>
        <v>2.1578192252510759</v>
      </c>
      <c r="D16" s="57">
        <f t="shared" si="19"/>
        <v>2.5059101654846336</v>
      </c>
      <c r="E16" s="57">
        <f t="shared" si="19"/>
        <v>1.1650895063588693</v>
      </c>
      <c r="F16" s="57">
        <f t="shared" si="19"/>
        <v>2.4894957983193278</v>
      </c>
      <c r="G16" s="57">
        <f t="shared" si="19"/>
        <v>1.5949494314969532</v>
      </c>
      <c r="H16" s="57">
        <f t="shared" si="19"/>
        <v>3.5584689946563937</v>
      </c>
      <c r="I16" s="57">
        <f>IFERROR(I14/I15,"nm")</f>
        <v>3.7534144524459898</v>
      </c>
      <c r="J16" s="57">
        <f t="shared" ref="J16:N16" si="20">IFERROR(J14/J15,"nm")</f>
        <v>7.2187966176262952</v>
      </c>
      <c r="K16" s="57">
        <f t="shared" si="20"/>
        <v>8.2727386339944822</v>
      </c>
      <c r="L16" s="57">
        <f t="shared" si="20"/>
        <v>9.5853599393258939</v>
      </c>
      <c r="M16" s="57">
        <f t="shared" si="20"/>
        <v>11.233777127696319</v>
      </c>
      <c r="N16" s="57">
        <f t="shared" si="20"/>
        <v>13.097630817509012</v>
      </c>
    </row>
    <row r="17" spans="1:14" x14ac:dyDescent="0.3">
      <c r="A17" t="s">
        <v>152</v>
      </c>
      <c r="B17" s="57">
        <f>-B61/'Three Statements'!B15</f>
        <v>0.508254183627318</v>
      </c>
      <c r="C17" s="57">
        <f>-C61/'Three Statements'!C15</f>
        <v>0.58651362984218081</v>
      </c>
      <c r="D17" s="57">
        <f>-D61/'Three Statements'!D15</f>
        <v>0.66962174940898345</v>
      </c>
      <c r="E17" s="57">
        <f>-E61/'Three Statements'!E15</f>
        <v>0.74920137423904531</v>
      </c>
      <c r="F17" s="57">
        <f>-F61/'Three Statements'!F15</f>
        <v>0.82303509639149774</v>
      </c>
      <c r="G17" s="57">
        <f>-G61/'Three Statements'!G15</f>
        <v>0.91211759532633951</v>
      </c>
      <c r="H17" s="57">
        <f>-H61/'Three Statements'!H15</f>
        <v>1.0177705977382876</v>
      </c>
      <c r="I17" s="57">
        <f>-I61/'Three Statements'!I15</f>
        <v>1.1404271169605165</v>
      </c>
      <c r="J17" s="57">
        <f>-J61/'Three Statements'!J15</f>
        <v>0</v>
      </c>
      <c r="K17" s="57">
        <f>-K61/'Three Statements'!K15</f>
        <v>0</v>
      </c>
      <c r="L17" s="57">
        <f>-L61/'Three Statements'!L15</f>
        <v>0</v>
      </c>
      <c r="M17" s="57">
        <f>-M61/'Three Statements'!M15</f>
        <v>0</v>
      </c>
      <c r="N17" s="57">
        <f>-N61/'Three Statements'!N15</f>
        <v>0</v>
      </c>
    </row>
    <row r="18" spans="1:14" x14ac:dyDescent="0.3">
      <c r="A18" s="54" t="s">
        <v>128</v>
      </c>
      <c r="B18" s="55" t="str">
        <f>+IFERROR(B17/A17-1,"nm")</f>
        <v>nm</v>
      </c>
      <c r="C18" s="55">
        <f t="shared" ref="C18:I18" si="21">+IFERROR(C17/B17-1,"nm")</f>
        <v>0.15397698383186809</v>
      </c>
      <c r="D18" s="55">
        <f t="shared" si="21"/>
        <v>0.14169853067040461</v>
      </c>
      <c r="E18" s="55">
        <f t="shared" si="21"/>
        <v>0.11884265243818604</v>
      </c>
      <c r="F18" s="55">
        <f t="shared" si="21"/>
        <v>9.8549902190775418E-2</v>
      </c>
      <c r="G18" s="55">
        <f t="shared" si="21"/>
        <v>0.10823657378089191</v>
      </c>
      <c r="H18" s="55">
        <f t="shared" si="21"/>
        <v>0.11583265464158421</v>
      </c>
      <c r="I18" s="55">
        <f t="shared" si="21"/>
        <v>0.12051489745803123</v>
      </c>
      <c r="J18" s="55">
        <f>+IFERROR(J17/I17-1,"nm")</f>
        <v>-1</v>
      </c>
      <c r="K18" s="55" t="str">
        <f t="shared" ref="K18" si="22">+IFERROR(K17/J17-1,"nm")</f>
        <v>nm</v>
      </c>
      <c r="L18" s="55" t="str">
        <f t="shared" ref="L18" si="23">+IFERROR(L17/K17-1,"nm")</f>
        <v>nm</v>
      </c>
      <c r="M18" s="55" t="str">
        <f t="shared" ref="M18" si="24">+IFERROR(M17/L17-1,"nm")</f>
        <v>nm</v>
      </c>
      <c r="N18" s="55" t="str">
        <f t="shared" ref="N18" si="25">+IFERROR(N17/M17-1,"nm")</f>
        <v>nm</v>
      </c>
    </row>
    <row r="19" spans="1:14" x14ac:dyDescent="0.3">
      <c r="A19" s="54" t="s">
        <v>153</v>
      </c>
      <c r="B19" s="55">
        <f>Historicals!B107/'Three Statements'!B14</f>
        <v>7.3327222731439046E-2</v>
      </c>
      <c r="C19" s="55">
        <f>Historicals!C107/'Three Statements'!C14</f>
        <v>7.2074468085106383E-2</v>
      </c>
      <c r="D19" s="55">
        <f>Historicals!D107/'Three Statements'!D14</f>
        <v>7.0754716981132074E-2</v>
      </c>
      <c r="E19" s="55">
        <f>Historicals!E107/'Three Statements'!E14</f>
        <v>0.16554578375581996</v>
      </c>
      <c r="F19" s="55">
        <f>Historicals!F107/'Three Statements'!F14</f>
        <v>8.6125589476296852E-2</v>
      </c>
      <c r="G19" s="55">
        <f>Historicals!G107/'Three Statements'!G14</f>
        <v>0.15163450177235133</v>
      </c>
      <c r="H19" s="55">
        <f>Historicals!H107/'Three Statements'!H14</f>
        <v>7.6479832372970138E-2</v>
      </c>
      <c r="I19" s="55">
        <f>Historicals!I107/'Three Statements'!I14</f>
        <v>7.9391333112801846E-2</v>
      </c>
      <c r="J19" s="55">
        <f>Historicals!J107/'Three Statements'!J14</f>
        <v>0</v>
      </c>
      <c r="K19" s="55">
        <f>Historicals!K107/'Three Statements'!K14</f>
        <v>0</v>
      </c>
      <c r="L19" s="55">
        <f>Historicals!L107/'Three Statements'!L14</f>
        <v>0</v>
      </c>
      <c r="M19" s="55">
        <f>Historicals!M107/'Three Statements'!M14</f>
        <v>0</v>
      </c>
      <c r="N19" s="55">
        <f>Historicals!N107/'Three Statements'!N14</f>
        <v>0</v>
      </c>
    </row>
    <row r="20" spans="1:14" x14ac:dyDescent="0.3">
      <c r="A20" s="58" t="s">
        <v>154</v>
      </c>
      <c r="B20" s="38"/>
      <c r="C20" s="38"/>
      <c r="D20" s="38"/>
      <c r="E20" s="38"/>
      <c r="F20" s="38"/>
      <c r="G20" s="38"/>
      <c r="H20" s="38"/>
      <c r="I20" s="38"/>
      <c r="J20" s="37"/>
      <c r="K20" s="37"/>
      <c r="L20" s="37"/>
      <c r="M20" s="37"/>
      <c r="N20" s="37"/>
    </row>
    <row r="21" spans="1:14" x14ac:dyDescent="0.3">
      <c r="A21" t="s">
        <v>155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/>
      <c r="K21" s="3"/>
      <c r="L21" s="3"/>
      <c r="M21" s="3"/>
      <c r="N21" s="3"/>
    </row>
    <row r="22" spans="1:14" x14ac:dyDescent="0.3">
      <c r="A22" t="s">
        <v>156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/>
      <c r="K22" s="3"/>
      <c r="L22" s="3"/>
      <c r="M22" s="3"/>
      <c r="N22" s="3"/>
    </row>
    <row r="23" spans="1:14" x14ac:dyDescent="0.3">
      <c r="A23" t="s">
        <v>157</v>
      </c>
      <c r="B23" s="3">
        <f>(Historicals!B27+Historicals!B28)-Historicals!B41</f>
        <v>5564</v>
      </c>
      <c r="C23" s="3">
        <f>Historicals!C27+Historicals!C28-Historicals!C41</f>
        <v>5888</v>
      </c>
      <c r="D23" s="3">
        <f>Historicals!D27+Historicals!D28-Historicals!D41</f>
        <v>6684</v>
      </c>
      <c r="E23" s="3">
        <f>Historicals!E27+Historicals!E28-Historicals!E41</f>
        <v>6480</v>
      </c>
      <c r="F23" s="3">
        <f>Historicals!F27+Historicals!F28-Historicals!F41</f>
        <v>7282</v>
      </c>
      <c r="G23" s="3">
        <f>Historicals!G27+Historicals!G28-Historicals!G41</f>
        <v>7868</v>
      </c>
      <c r="H23" s="3">
        <f>Historicals!H27+Historicals!H28-Historicals!H41</f>
        <v>8481</v>
      </c>
      <c r="I23" s="3">
        <f>Historicals!I27+Historicals!I28-Historicals!I41</f>
        <v>9729</v>
      </c>
      <c r="J23" s="63"/>
      <c r="K23" s="3"/>
      <c r="L23" s="3"/>
      <c r="M23" s="3"/>
      <c r="N23" s="3"/>
    </row>
    <row r="24" spans="1:14" x14ac:dyDescent="0.3">
      <c r="A24" s="54" t="s">
        <v>158</v>
      </c>
      <c r="B24" s="55">
        <f>IFERROR(B23/B3,"nm")</f>
        <v>0.18182412339466031</v>
      </c>
      <c r="C24" s="55">
        <f t="shared" ref="C24:I24" si="26">IFERROR(C23/C3,"nm")</f>
        <v>0.1818631084754139</v>
      </c>
      <c r="D24" s="55">
        <f t="shared" si="26"/>
        <v>0.19458515283842795</v>
      </c>
      <c r="E24" s="55">
        <f t="shared" si="26"/>
        <v>0.17803665137236585</v>
      </c>
      <c r="F24" s="55">
        <f t="shared" si="26"/>
        <v>0.18615947030702765</v>
      </c>
      <c r="G24" s="55">
        <f t="shared" si="26"/>
        <v>0.21035745795791783</v>
      </c>
      <c r="H24" s="55">
        <f t="shared" si="26"/>
        <v>0.19042166240064665</v>
      </c>
      <c r="I24" s="55">
        <f t="shared" si="26"/>
        <v>0.20828516377649325</v>
      </c>
      <c r="J24" s="56"/>
      <c r="K24" s="56"/>
      <c r="L24" s="56"/>
      <c r="M24" s="56"/>
      <c r="N24" s="56"/>
    </row>
    <row r="25" spans="1:14" x14ac:dyDescent="0.3">
      <c r="A25" t="s">
        <v>159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K25" s="3"/>
      <c r="L25" s="3"/>
      <c r="M25" s="3"/>
      <c r="N25" s="3"/>
    </row>
    <row r="26" spans="1:14" x14ac:dyDescent="0.3">
      <c r="A26" t="s">
        <v>160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/>
      <c r="K26" s="3"/>
      <c r="L26" s="3"/>
      <c r="M26" s="3"/>
      <c r="N26" s="3"/>
    </row>
    <row r="27" spans="1:14" x14ac:dyDescent="0.3">
      <c r="A27" t="s">
        <v>161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/>
      <c r="K27" s="3"/>
      <c r="L27" s="3"/>
      <c r="M27" s="3"/>
      <c r="N27" s="3"/>
    </row>
    <row r="28" spans="1:14" x14ac:dyDescent="0.3">
      <c r="A28" t="s">
        <v>39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/>
      <c r="K28" s="3"/>
      <c r="L28" s="3"/>
      <c r="M28" s="3"/>
      <c r="N28" s="3"/>
    </row>
    <row r="29" spans="1:14" x14ac:dyDescent="0.3">
      <c r="A29" s="59" t="s">
        <v>37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/>
      <c r="K29" s="3"/>
      <c r="L29" s="3"/>
      <c r="M29" s="3"/>
      <c r="N29" s="3"/>
    </row>
    <row r="30" spans="1:14" x14ac:dyDescent="0.3">
      <c r="A30" t="s">
        <v>162</v>
      </c>
      <c r="B30" s="3">
        <f>Historicals!B35</f>
        <v>2587</v>
      </c>
      <c r="C30" s="3">
        <f>Historicals!C35</f>
        <v>2439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/>
      <c r="K30" s="3"/>
      <c r="L30" s="3"/>
      <c r="M30" s="3"/>
      <c r="N30" s="3"/>
    </row>
    <row r="31" spans="1:14" ht="15" thickBot="1" x14ac:dyDescent="0.35">
      <c r="A31" s="6" t="s">
        <v>163</v>
      </c>
      <c r="B31" s="7">
        <f>B21+B22+B23+B25+B27+B26+B28+B29+B30</f>
        <v>19466</v>
      </c>
      <c r="C31" s="7">
        <f t="shared" ref="C31:I31" si="27">C21+C22+C23+C25+C27+C26+C28+C29+C30</f>
        <v>19205</v>
      </c>
      <c r="D31" s="7">
        <f t="shared" si="27"/>
        <v>21211</v>
      </c>
      <c r="E31" s="7">
        <f t="shared" si="27"/>
        <v>20257</v>
      </c>
      <c r="F31" s="7">
        <f t="shared" si="27"/>
        <v>21105</v>
      </c>
      <c r="G31" s="7">
        <f t="shared" si="27"/>
        <v>29094</v>
      </c>
      <c r="H31" s="7">
        <f t="shared" si="27"/>
        <v>34904</v>
      </c>
      <c r="I31" s="7">
        <f t="shared" si="27"/>
        <v>36963</v>
      </c>
      <c r="J31" s="7"/>
      <c r="K31" s="7"/>
      <c r="L31" s="7"/>
      <c r="M31" s="7"/>
      <c r="N31" s="7"/>
    </row>
    <row r="32" spans="1:14" ht="15" thickTop="1" x14ac:dyDescent="0.3">
      <c r="A32" s="1" t="s">
        <v>164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2" t="s">
        <v>44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/>
      <c r="K33" s="3"/>
      <c r="L33" s="3"/>
      <c r="M33" s="3"/>
      <c r="N33" s="3"/>
    </row>
    <row r="34" spans="1:14" x14ac:dyDescent="0.3">
      <c r="A34" s="2" t="s">
        <v>45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/>
      <c r="K34" s="3"/>
      <c r="L34" s="3"/>
      <c r="M34" s="3"/>
      <c r="N34" s="3"/>
    </row>
    <row r="35" spans="1:14" x14ac:dyDescent="0.3">
      <c r="A35" t="s">
        <v>165</v>
      </c>
      <c r="B35" s="3">
        <f>SUM(Historicals!B42:B44)</f>
        <v>4020</v>
      </c>
      <c r="C35" s="3">
        <f>SUM(Historicals!C42:C44)</f>
        <v>3122</v>
      </c>
      <c r="D35" s="3">
        <f>SUM(Historicals!D42:D44)</f>
        <v>3095</v>
      </c>
      <c r="E35" s="3">
        <f>SUM(Historicals!E42:E44)</f>
        <v>3419</v>
      </c>
      <c r="F35" s="3">
        <f>SUM(Historicals!F42:F44)</f>
        <v>5239</v>
      </c>
      <c r="G35" s="3">
        <f>SUM(Historicals!G42:G44)</f>
        <v>5785</v>
      </c>
      <c r="H35" s="3">
        <f>SUM(Historicals!H42:H44)</f>
        <v>6836</v>
      </c>
      <c r="I35" s="3">
        <f>SUM(Historicals!I42:I44)</f>
        <v>6862</v>
      </c>
      <c r="J35" t="s">
        <v>143</v>
      </c>
      <c r="K35" s="3"/>
      <c r="L35" s="3"/>
      <c r="M35" s="3"/>
      <c r="N35" s="3"/>
    </row>
    <row r="36" spans="1:14" x14ac:dyDescent="0.3">
      <c r="A36" t="s">
        <v>48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/>
      <c r="K36" s="3"/>
      <c r="L36" s="3"/>
      <c r="M36" s="3"/>
      <c r="N36" s="3"/>
    </row>
    <row r="37" spans="1:14" x14ac:dyDescent="0.3">
      <c r="A37" s="59" t="s">
        <v>49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/>
      <c r="K37" s="3"/>
      <c r="L37" s="3"/>
      <c r="M37" s="3"/>
      <c r="N37" s="3"/>
    </row>
    <row r="38" spans="1:14" x14ac:dyDescent="0.3">
      <c r="A38" t="s">
        <v>166</v>
      </c>
      <c r="B38" s="3">
        <f>Historicals!B48</f>
        <v>1479</v>
      </c>
      <c r="C38" s="3">
        <f>Historicals!C48</f>
        <v>1770</v>
      </c>
      <c r="D38" s="3">
        <f>Historicals!D48</f>
        <v>1907</v>
      </c>
      <c r="E38" s="3">
        <f>Historicals!E48</f>
        <v>3216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/>
      <c r="K38" s="3"/>
      <c r="L38" s="3"/>
      <c r="M38" s="3"/>
      <c r="N38" s="3"/>
    </row>
    <row r="39" spans="1:14" x14ac:dyDescent="0.3">
      <c r="A39" t="s">
        <v>167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2" t="s">
        <v>168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/>
      <c r="K40" s="3"/>
      <c r="L40" s="3"/>
      <c r="M40" s="3"/>
      <c r="N40" s="3"/>
    </row>
    <row r="41" spans="1:14" x14ac:dyDescent="0.3">
      <c r="A41" s="2" t="s">
        <v>169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/>
      <c r="K41" s="3"/>
      <c r="L41" s="3"/>
      <c r="M41" s="3"/>
      <c r="N41" s="3"/>
    </row>
    <row r="42" spans="1:14" x14ac:dyDescent="0.3">
      <c r="A42" s="2" t="s">
        <v>170</v>
      </c>
      <c r="B42" s="3">
        <f>Historicals!B55+Historicals!B56</f>
        <v>8019</v>
      </c>
      <c r="C42" s="3">
        <f>Historicals!C55+Historicals!C56</f>
        <v>8104</v>
      </c>
      <c r="D42" s="3">
        <f>Historicals!D55+Historicals!D56</f>
        <v>5497</v>
      </c>
      <c r="E42" s="3">
        <f>Historicals!E55+Historicals!E56</f>
        <v>6292</v>
      </c>
      <c r="F42" s="3">
        <f>Historicals!F55+Historicals!F56</f>
        <v>7394</v>
      </c>
      <c r="G42" s="3">
        <f>Historicals!G55+Historicals!G56</f>
        <v>8243</v>
      </c>
      <c r="H42" s="3">
        <f>Historicals!H55+Historicals!H56</f>
        <v>9585</v>
      </c>
      <c r="I42" s="3">
        <f>Historicals!I55+Historicals!I56</f>
        <v>11802</v>
      </c>
      <c r="J42" s="3"/>
      <c r="K42" s="3"/>
      <c r="L42" s="3"/>
      <c r="M42" s="3"/>
      <c r="N42" s="3"/>
    </row>
    <row r="43" spans="1:14" ht="15" thickBot="1" x14ac:dyDescent="0.35">
      <c r="A43" s="6" t="s">
        <v>171</v>
      </c>
      <c r="B43" s="7">
        <f t="shared" ref="B43:I43" si="28">SUM(B32:B42)</f>
        <v>19466</v>
      </c>
      <c r="C43" s="7">
        <f t="shared" si="28"/>
        <v>19205</v>
      </c>
      <c r="D43" s="7">
        <f t="shared" si="28"/>
        <v>21211</v>
      </c>
      <c r="E43" s="7">
        <f t="shared" si="28"/>
        <v>20257</v>
      </c>
      <c r="F43" s="7">
        <f t="shared" si="28"/>
        <v>21105</v>
      </c>
      <c r="G43" s="7">
        <f t="shared" si="28"/>
        <v>29094</v>
      </c>
      <c r="H43" s="7">
        <f t="shared" si="28"/>
        <v>34904</v>
      </c>
      <c r="I43" s="7">
        <f t="shared" si="28"/>
        <v>36963</v>
      </c>
      <c r="J43" s="7"/>
      <c r="K43" s="7"/>
      <c r="L43" s="7"/>
      <c r="M43" s="7"/>
      <c r="N43" s="7"/>
    </row>
    <row r="44" spans="1:14" ht="15" thickTop="1" x14ac:dyDescent="0.3">
      <c r="A44" s="60" t="s">
        <v>172</v>
      </c>
      <c r="B44" s="60">
        <f t="shared" ref="B44:I44" si="29">B31-B43</f>
        <v>0</v>
      </c>
      <c r="C44" s="60">
        <f t="shared" si="29"/>
        <v>0</v>
      </c>
      <c r="D44" s="60">
        <f t="shared" si="29"/>
        <v>0</v>
      </c>
      <c r="E44" s="60">
        <f t="shared" si="29"/>
        <v>0</v>
      </c>
      <c r="F44" s="60">
        <f t="shared" si="29"/>
        <v>0</v>
      </c>
      <c r="G44" s="60">
        <f t="shared" si="29"/>
        <v>0</v>
      </c>
      <c r="H44" s="60">
        <f t="shared" si="29"/>
        <v>0</v>
      </c>
      <c r="I44" s="60">
        <f t="shared" si="29"/>
        <v>0</v>
      </c>
      <c r="J44" s="60"/>
      <c r="K44" s="60"/>
      <c r="L44" s="60"/>
      <c r="M44" s="60"/>
      <c r="N44" s="60"/>
    </row>
    <row r="45" spans="1:14" x14ac:dyDescent="0.3">
      <c r="A45" s="58" t="s">
        <v>173</v>
      </c>
      <c r="B45" s="38"/>
      <c r="C45" s="38"/>
      <c r="D45" s="38"/>
      <c r="E45" s="38"/>
      <c r="F45" s="38"/>
      <c r="G45" s="38"/>
      <c r="H45" s="38"/>
      <c r="I45" s="38"/>
      <c r="J45" s="37"/>
      <c r="K45" s="37"/>
      <c r="L45" s="37"/>
      <c r="M45" s="37"/>
      <c r="N45" s="37"/>
    </row>
    <row r="46" spans="1:14" x14ac:dyDescent="0.3">
      <c r="A46" s="1" t="s">
        <v>133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'Segmental forecast'!J11</f>
        <v>13202.251053213218</v>
      </c>
      <c r="K46" s="9">
        <f>'Segmental forecast'!K11</f>
        <v>15148.537641642561</v>
      </c>
      <c r="L46" s="9">
        <f>'Segmental forecast'!L11</f>
        <v>17573.869304751704</v>
      </c>
      <c r="M46" s="9">
        <f>'Segmental forecast'!M11</f>
        <v>20621.567080473418</v>
      </c>
      <c r="N46" s="9">
        <f>'Segmental forecast'!N11</f>
        <v>24072.701958146139</v>
      </c>
    </row>
    <row r="47" spans="1:14" x14ac:dyDescent="0.3">
      <c r="A47" t="s">
        <v>131</v>
      </c>
      <c r="B47" s="61">
        <f>'Segmental forecast'!B8</f>
        <v>606</v>
      </c>
      <c r="C47" s="61">
        <f>'Segmental forecast'!C8</f>
        <v>649</v>
      </c>
      <c r="D47" s="61">
        <f>'Segmental forecast'!D8</f>
        <v>706</v>
      </c>
      <c r="E47" s="61">
        <f>'Segmental forecast'!E8</f>
        <v>747</v>
      </c>
      <c r="F47" s="61">
        <f>'Segmental forecast'!F8</f>
        <v>705</v>
      </c>
      <c r="G47" s="61">
        <f>'Segmental forecast'!G8</f>
        <v>721</v>
      </c>
      <c r="H47" s="61">
        <f>'Segmental forecast'!H8</f>
        <v>744</v>
      </c>
      <c r="I47" s="61">
        <f>'Segmental forecast'!I8</f>
        <v>717</v>
      </c>
      <c r="J47" s="61">
        <f>'Segmental forecast'!J8</f>
        <v>700.11582495691891</v>
      </c>
      <c r="K47" s="61">
        <f>'Segmental forecast'!K8</f>
        <v>759.30126092757291</v>
      </c>
      <c r="L47" s="61">
        <f>'Segmental forecast'!L8</f>
        <v>831.76987792042962</v>
      </c>
      <c r="M47" s="61">
        <f>'Segmental forecast'!M8</f>
        <v>922.11970452286153</v>
      </c>
      <c r="N47" s="61">
        <f>'Segmental forecast'!N8</f>
        <v>1015.6715750853364</v>
      </c>
    </row>
    <row r="48" spans="1:14" x14ac:dyDescent="0.3">
      <c r="A48" t="s">
        <v>174</v>
      </c>
      <c r="B48" s="3">
        <f>Historicals!B105</f>
        <v>1262</v>
      </c>
      <c r="C48" s="3">
        <f>Historicals!C105</f>
        <v>748</v>
      </c>
      <c r="D48" s="3">
        <f>Historicals!D105</f>
        <v>703</v>
      </c>
      <c r="E48" s="3">
        <f>Historicals!E105</f>
        <v>529</v>
      </c>
      <c r="F48" s="3">
        <f>Historicals!F105</f>
        <v>757</v>
      </c>
      <c r="G48" s="3">
        <f>Historicals!G105</f>
        <v>1028</v>
      </c>
      <c r="H48" s="3">
        <f>Historicals!H105</f>
        <v>1177</v>
      </c>
      <c r="I48" s="3">
        <f>Historicals!I105</f>
        <v>1231</v>
      </c>
      <c r="K48" s="3"/>
      <c r="L48" s="3"/>
      <c r="M48" s="3"/>
      <c r="N48" s="3"/>
    </row>
    <row r="49" spans="1:14" x14ac:dyDescent="0.3">
      <c r="A49" s="1" t="s">
        <v>175</v>
      </c>
      <c r="B49" s="9">
        <f>(B46+B47)-B48</f>
        <v>3577</v>
      </c>
      <c r="C49" s="9">
        <f t="shared" ref="C49:I49" si="30">(C46+C47)-C48</f>
        <v>4543</v>
      </c>
      <c r="D49" s="9">
        <f t="shared" si="30"/>
        <v>4948</v>
      </c>
      <c r="E49" s="9">
        <f t="shared" si="30"/>
        <v>4597</v>
      </c>
      <c r="F49" s="9">
        <f t="shared" si="30"/>
        <v>4798</v>
      </c>
      <c r="G49" s="9">
        <f t="shared" si="30"/>
        <v>2669</v>
      </c>
      <c r="H49" s="9">
        <f t="shared" si="30"/>
        <v>6490</v>
      </c>
      <c r="I49" s="9">
        <f t="shared" si="30"/>
        <v>6342</v>
      </c>
      <c r="K49" s="9"/>
      <c r="L49" s="9"/>
      <c r="M49" s="9"/>
      <c r="N49" s="9"/>
    </row>
    <row r="50" spans="1:14" x14ac:dyDescent="0.3">
      <c r="A50" t="s">
        <v>176</v>
      </c>
      <c r="B50" s="3">
        <f>Historicals!B104</f>
        <v>53</v>
      </c>
      <c r="C50" s="3">
        <f>Historicals!C104</f>
        <v>70</v>
      </c>
      <c r="D50" s="3">
        <f>Historicals!D104</f>
        <v>98</v>
      </c>
      <c r="E50" s="3">
        <f>Historicals!E104</f>
        <v>125</v>
      </c>
      <c r="F50" s="3">
        <f>Historicals!F104</f>
        <v>153</v>
      </c>
      <c r="G50" s="3">
        <f>Historicals!G104</f>
        <v>140</v>
      </c>
      <c r="H50" s="3">
        <f>Historicals!H104</f>
        <v>293</v>
      </c>
      <c r="I50" s="3">
        <f>Historicals!I104</f>
        <v>290</v>
      </c>
      <c r="K50" s="3"/>
      <c r="L50" s="3"/>
      <c r="M50" s="3"/>
      <c r="N50" s="3"/>
    </row>
    <row r="51" spans="1:14" x14ac:dyDescent="0.3">
      <c r="A51" t="s">
        <v>177</v>
      </c>
      <c r="B51" s="3">
        <f>-(B23-B78)</f>
        <v>-113</v>
      </c>
      <c r="C51" s="3">
        <f>-(C23-B23)</f>
        <v>-324</v>
      </c>
      <c r="D51" s="3">
        <f t="shared" ref="D51:I51" si="31">-(D23-C23)</f>
        <v>-796</v>
      </c>
      <c r="E51" s="3">
        <f t="shared" si="31"/>
        <v>204</v>
      </c>
      <c r="F51" s="3">
        <f t="shared" si="31"/>
        <v>-802</v>
      </c>
      <c r="G51" s="3">
        <f t="shared" si="31"/>
        <v>-586</v>
      </c>
      <c r="H51" s="3">
        <f t="shared" si="31"/>
        <v>-613</v>
      </c>
      <c r="I51" s="3">
        <f t="shared" si="31"/>
        <v>-1248</v>
      </c>
      <c r="K51" s="3"/>
      <c r="L51" s="3"/>
      <c r="M51" s="3"/>
      <c r="N51" s="3"/>
    </row>
    <row r="52" spans="1:14" x14ac:dyDescent="0.3">
      <c r="A52" t="s">
        <v>134</v>
      </c>
      <c r="B52" s="3">
        <f>-'Segmental forecast'!B14</f>
        <v>-963</v>
      </c>
      <c r="C52" s="3">
        <f>-'Segmental forecast'!C14</f>
        <v>-1143</v>
      </c>
      <c r="D52" s="3">
        <f>-'Segmental forecast'!D14</f>
        <v>-1105</v>
      </c>
      <c r="E52" s="3">
        <f>-'Segmental forecast'!E14</f>
        <v>-1028</v>
      </c>
      <c r="F52" s="3">
        <f>-'Segmental forecast'!F14</f>
        <v>-1119</v>
      </c>
      <c r="G52" s="3">
        <f>-'Segmental forecast'!G14</f>
        <v>-1086</v>
      </c>
      <c r="H52" s="3">
        <f>-'Segmental forecast'!H14</f>
        <v>-695</v>
      </c>
      <c r="I52" s="3">
        <f>-'Segmental forecast'!I14</f>
        <v>-758</v>
      </c>
      <c r="J52" s="65"/>
      <c r="K52" s="3"/>
      <c r="L52" s="3"/>
      <c r="M52" s="3"/>
      <c r="N52" s="3"/>
    </row>
    <row r="53" spans="1:14" x14ac:dyDescent="0.3">
      <c r="A53" s="1" t="s">
        <v>178</v>
      </c>
      <c r="B53" s="9">
        <f>B49+B50+B51+B52</f>
        <v>2554</v>
      </c>
      <c r="C53" s="9">
        <f t="shared" ref="C53:I53" si="32">C49+C50+C51+C52</f>
        <v>3146</v>
      </c>
      <c r="D53" s="9">
        <f t="shared" si="32"/>
        <v>3145</v>
      </c>
      <c r="E53" s="9">
        <f t="shared" si="32"/>
        <v>3898</v>
      </c>
      <c r="F53" s="9">
        <f t="shared" si="32"/>
        <v>3030</v>
      </c>
      <c r="G53" s="9">
        <f t="shared" si="32"/>
        <v>1137</v>
      </c>
      <c r="H53" s="9">
        <f t="shared" si="32"/>
        <v>5475</v>
      </c>
      <c r="I53" s="9">
        <f t="shared" si="32"/>
        <v>4626</v>
      </c>
      <c r="J53" s="9"/>
      <c r="K53" s="9"/>
      <c r="L53" s="9"/>
      <c r="M53" s="9"/>
      <c r="N53" s="9"/>
    </row>
    <row r="54" spans="1:14" x14ac:dyDescent="0.3">
      <c r="A54" t="s">
        <v>179</v>
      </c>
      <c r="B54" s="3">
        <f>Historicals!B76-('Three Statements'!B49+'Three Statements'!B51+'Three Statements'!B47)</f>
        <v>610</v>
      </c>
      <c r="C54" s="3">
        <f>Historicals!C76-('Three Statements'!C49+'Three Statements'!C51+'Three Statements'!C47)</f>
        <v>-1772</v>
      </c>
      <c r="D54" s="3">
        <f>Historicals!D76-('Three Statements'!D49+'Three Statements'!D51+'Three Statements'!D47)</f>
        <v>-1218</v>
      </c>
      <c r="E54" s="3">
        <f>Historicals!E76-('Three Statements'!E49+'Three Statements'!E51+'Three Statements'!E47)</f>
        <v>-593</v>
      </c>
      <c r="F54" s="3">
        <f>Historicals!F76-('Three Statements'!F49+'Three Statements'!F51+'Three Statements'!F47)</f>
        <v>1202</v>
      </c>
      <c r="G54" s="3">
        <f>Historicals!G76-('Three Statements'!G49+'Three Statements'!G51+'Three Statements'!G47)</f>
        <v>-319</v>
      </c>
      <c r="H54" s="3">
        <f>Historicals!H76-('Three Statements'!H49+'Three Statements'!H51+'Three Statements'!H47)</f>
        <v>36</v>
      </c>
      <c r="I54" s="3">
        <f>Historicals!I76-('Three Statements'!I49+'Three Statements'!I51+'Three Statements'!I47)</f>
        <v>-623</v>
      </c>
      <c r="J54" s="3"/>
      <c r="K54" s="3"/>
      <c r="L54" s="3"/>
      <c r="M54" s="3"/>
      <c r="N54" s="3"/>
    </row>
    <row r="55" spans="1:14" x14ac:dyDescent="0.3">
      <c r="A55" s="27" t="s">
        <v>180</v>
      </c>
      <c r="B55" s="26">
        <f>B49+B47+B51+B54</f>
        <v>4680</v>
      </c>
      <c r="C55" s="26">
        <f t="shared" ref="C55:I55" si="33">C49+C47+C51+C54</f>
        <v>3096</v>
      </c>
      <c r="D55" s="26">
        <f t="shared" si="33"/>
        <v>3640</v>
      </c>
      <c r="E55" s="26">
        <f t="shared" si="33"/>
        <v>4955</v>
      </c>
      <c r="F55" s="26">
        <f t="shared" si="33"/>
        <v>5903</v>
      </c>
      <c r="G55" s="26">
        <f t="shared" si="33"/>
        <v>2485</v>
      </c>
      <c r="H55" s="26">
        <f t="shared" si="33"/>
        <v>6657</v>
      </c>
      <c r="I55" s="26">
        <f t="shared" si="33"/>
        <v>5188</v>
      </c>
      <c r="J55" s="26"/>
      <c r="K55" s="26"/>
      <c r="L55" s="26"/>
      <c r="M55" s="26"/>
      <c r="N55" s="26"/>
    </row>
    <row r="56" spans="1:14" x14ac:dyDescent="0.3">
      <c r="A56" t="s">
        <v>181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t="s">
        <v>182</v>
      </c>
      <c r="B57" s="3">
        <f>SUM(Historicals!B79,Historicals!B80,Historicals!B81,Historicals!B83,Historicals!B84,Historicals!B78)</f>
        <v>788</v>
      </c>
      <c r="C57" s="3">
        <f>SUM(Historicals!C79,Historicals!C80,Historicals!C81,Historicals!C83,Historicals!C84,Historicals!C78)</f>
        <v>109</v>
      </c>
      <c r="D57" s="3">
        <f>SUM(Historicals!D79,Historicals!D80,Historicals!D81,Historicals!D83,Historicals!D84,Historicals!D78)</f>
        <v>97</v>
      </c>
      <c r="E57" s="3">
        <f>SUM(Historicals!E79,Historicals!E80,Historicals!E81,Historicals!E83,Historicals!E84,Historicals!E78)</f>
        <v>1304</v>
      </c>
      <c r="F57" s="3">
        <f>SUM(Historicals!F79,Historicals!F80,Historicals!F81,Historicals!F83,Historicals!F84,Historicals!F78)</f>
        <v>855</v>
      </c>
      <c r="G57" s="3">
        <f>SUM(Historicals!G79,Historicals!G80,Historicals!G81,Historicals!G83,Historicals!G84,Historicals!G78)</f>
        <v>58</v>
      </c>
      <c r="H57" s="3">
        <f>SUM(Historicals!H79,Historicals!H80,Historicals!H81,Historicals!H83,Historicals!H84,Historicals!H78)</f>
        <v>-3105</v>
      </c>
      <c r="I57" s="3">
        <f>SUM(Historicals!I79,Historicals!I80,Historicals!I81,Historicals!I83,Historicals!I84,Historicals!I78)</f>
        <v>-766</v>
      </c>
      <c r="J57" s="3"/>
      <c r="K57" s="3"/>
      <c r="L57" s="3"/>
      <c r="M57" s="3"/>
      <c r="N57" s="3"/>
    </row>
    <row r="58" spans="1:14" x14ac:dyDescent="0.3">
      <c r="A58" s="27" t="s">
        <v>183</v>
      </c>
      <c r="B58" s="26">
        <f>B56+B57+B52</f>
        <v>-175</v>
      </c>
      <c r="C58" s="26">
        <f t="shared" ref="C58:I58" si="34">C56+C57+C52</f>
        <v>-1034</v>
      </c>
      <c r="D58" s="26">
        <f t="shared" si="34"/>
        <v>-1008</v>
      </c>
      <c r="E58" s="26">
        <f>E56+E57+E52</f>
        <v>276</v>
      </c>
      <c r="F58" s="26">
        <f>F56+F57+F52</f>
        <v>-264</v>
      </c>
      <c r="G58" s="26">
        <f t="shared" si="34"/>
        <v>-1028</v>
      </c>
      <c r="H58" s="26">
        <f t="shared" si="34"/>
        <v>-3800</v>
      </c>
      <c r="I58" s="26">
        <f t="shared" si="34"/>
        <v>-1524</v>
      </c>
      <c r="J58" s="26"/>
      <c r="K58" s="26"/>
      <c r="L58" s="26"/>
      <c r="M58" s="26"/>
      <c r="N58" s="26"/>
    </row>
    <row r="59" spans="1:14" x14ac:dyDescent="0.3">
      <c r="A59" t="s">
        <v>184</v>
      </c>
      <c r="B59" s="3">
        <f>SUM(Historicals!B91:B93)</f>
        <v>-1802</v>
      </c>
      <c r="C59" s="3">
        <f>SUM(Historicals!C91:C93)</f>
        <v>-2450</v>
      </c>
      <c r="D59" s="3">
        <f>SUM(Historicals!D91:D93)</f>
        <v>-2557</v>
      </c>
      <c r="E59" s="3">
        <f>SUM(Historicals!E91:E93)</f>
        <v>-3521</v>
      </c>
      <c r="F59" s="3">
        <f>SUM(Historicals!F91:F93)</f>
        <v>-3586</v>
      </c>
      <c r="G59" s="3">
        <f>SUM(Historicals!G91:G93)</f>
        <v>-2182</v>
      </c>
      <c r="H59" s="3">
        <f>SUM(Historicals!H91:H93)</f>
        <v>564</v>
      </c>
      <c r="I59" s="3">
        <f>SUM(Historicals!I91:I93)</f>
        <v>-2863</v>
      </c>
      <c r="J59" s="3"/>
      <c r="K59" s="3"/>
      <c r="L59" s="62"/>
      <c r="M59" s="3"/>
      <c r="N59" s="3"/>
    </row>
    <row r="60" spans="1:14" x14ac:dyDescent="0.3">
      <c r="A60" s="54" t="s">
        <v>128</v>
      </c>
      <c r="B60" s="55" t="str">
        <f>+IFERROR(B59/A59-1,"nm")</f>
        <v>nm</v>
      </c>
      <c r="C60" s="55">
        <f t="shared" ref="C60:I60" si="35">+IFERROR(C59/B59-1,"nm")</f>
        <v>0.35960044395116531</v>
      </c>
      <c r="D60" s="55">
        <f t="shared" si="35"/>
        <v>4.3673469387755182E-2</v>
      </c>
      <c r="E60" s="55">
        <f t="shared" si="35"/>
        <v>0.37700430191630807</v>
      </c>
      <c r="F60" s="55">
        <f t="shared" si="35"/>
        <v>1.8460664583924924E-2</v>
      </c>
      <c r="G60" s="55">
        <f t="shared" si="35"/>
        <v>-0.39152258784160621</v>
      </c>
      <c r="H60" s="55">
        <f t="shared" si="35"/>
        <v>-1.2584784601283228</v>
      </c>
      <c r="I60" s="55">
        <f t="shared" si="35"/>
        <v>-6.0762411347517729</v>
      </c>
      <c r="J60" s="55"/>
      <c r="K60" s="55"/>
      <c r="L60" s="55"/>
      <c r="M60" s="56"/>
      <c r="N60" s="56"/>
    </row>
    <row r="61" spans="1:14" x14ac:dyDescent="0.3">
      <c r="A61" t="s">
        <v>185</v>
      </c>
      <c r="B61" s="3">
        <f>Historicals!B94</f>
        <v>-899</v>
      </c>
      <c r="C61" s="3">
        <f>Historicals!C94</f>
        <v>-1022</v>
      </c>
      <c r="D61" s="3">
        <f>Historicals!D94</f>
        <v>-1133</v>
      </c>
      <c r="E61" s="3">
        <f>Historicals!E94</f>
        <v>-1243</v>
      </c>
      <c r="F61" s="3">
        <f>Historicals!F94</f>
        <v>-1332</v>
      </c>
      <c r="G61" s="3">
        <f>Historicals!G94</f>
        <v>-1452</v>
      </c>
      <c r="H61" s="3">
        <f>Historicals!H94</f>
        <v>-1638</v>
      </c>
      <c r="I61" s="3">
        <f>Historicals!I94</f>
        <v>-1837</v>
      </c>
      <c r="J61" s="3"/>
      <c r="K61" s="3"/>
      <c r="L61" s="3"/>
      <c r="M61" s="3"/>
      <c r="N61" s="3"/>
    </row>
    <row r="62" spans="1:14" x14ac:dyDescent="0.3">
      <c r="A62" t="s">
        <v>186</v>
      </c>
      <c r="B62" s="3">
        <f>Historicals!B87</f>
        <v>0</v>
      </c>
      <c r="C62" s="3">
        <f>Historicals!C87</f>
        <v>981</v>
      </c>
      <c r="D62" s="3">
        <f>Historicals!D87</f>
        <v>1482</v>
      </c>
      <c r="E62" s="3">
        <f>Historicals!E87</f>
        <v>0</v>
      </c>
      <c r="F62" s="3">
        <f>Historicals!F87</f>
        <v>0</v>
      </c>
      <c r="G62" s="3">
        <f>Historicals!G87</f>
        <v>6134</v>
      </c>
      <c r="H62" s="3">
        <f>Historicals!H87</f>
        <v>0</v>
      </c>
      <c r="I62" s="3">
        <f>Historicals!I87</f>
        <v>0</v>
      </c>
      <c r="J62" s="3"/>
      <c r="K62" s="3"/>
      <c r="L62" s="3"/>
      <c r="M62" s="3"/>
      <c r="N62" s="3"/>
    </row>
    <row r="63" spans="1:14" x14ac:dyDescent="0.3">
      <c r="A63" t="s">
        <v>187</v>
      </c>
      <c r="B63" s="3">
        <f>Historicals!B89+Historicals!B90+Historicals!B95+Historicals!B88</f>
        <v>-89</v>
      </c>
      <c r="C63" s="3">
        <f>Historicals!C89+Historicals!C90+Historicals!C95+Historicals!C88</f>
        <v>-180</v>
      </c>
      <c r="D63" s="3">
        <f>Historicals!D89+Historicals!D90+Historicals!D95+Historicals!D88</f>
        <v>266</v>
      </c>
      <c r="E63" s="3">
        <f>Historicals!E89+Historicals!E90+Historicals!E95+Historicals!E88</f>
        <v>-71</v>
      </c>
      <c r="F63" s="3">
        <f>Historicals!F89+Historicals!F90+Historicals!F95+Historicals!F88</f>
        <v>-375</v>
      </c>
      <c r="G63" s="3">
        <f>Historicals!G89+Historicals!G90+Historicals!G95+Historicals!G88</f>
        <v>-9</v>
      </c>
      <c r="H63" s="3">
        <f>Historicals!H89+Historicals!H90+Historicals!H95+Historicals!H88</f>
        <v>-385</v>
      </c>
      <c r="I63" s="3">
        <f>Historicals!I89+Historicals!I90+Historicals!I95+Historicals!I88</f>
        <v>-136</v>
      </c>
      <c r="J63" s="3"/>
      <c r="K63" s="3"/>
      <c r="L63" s="3"/>
      <c r="M63" s="3"/>
      <c r="N63" s="3"/>
    </row>
    <row r="64" spans="1:14" x14ac:dyDescent="0.3">
      <c r="A64" s="27" t="s">
        <v>188</v>
      </c>
      <c r="B64" s="26">
        <f>SUM(B59+B61+B62+B63)</f>
        <v>-2790</v>
      </c>
      <c r="C64" s="26">
        <f t="shared" ref="C64:I64" si="36">SUM(C59+C61+C62+C63)</f>
        <v>-2671</v>
      </c>
      <c r="D64" s="26">
        <f t="shared" si="36"/>
        <v>-1942</v>
      </c>
      <c r="E64" s="26">
        <f t="shared" si="36"/>
        <v>-4835</v>
      </c>
      <c r="F64" s="26">
        <f t="shared" si="36"/>
        <v>-5293</v>
      </c>
      <c r="G64" s="26">
        <f t="shared" si="36"/>
        <v>2491</v>
      </c>
      <c r="H64" s="26">
        <f t="shared" si="36"/>
        <v>-1459</v>
      </c>
      <c r="I64" s="26">
        <f t="shared" si="36"/>
        <v>-4836</v>
      </c>
      <c r="J64" s="26"/>
      <c r="K64" s="26"/>
      <c r="L64" s="26"/>
      <c r="M64" s="26"/>
      <c r="N64" s="26"/>
    </row>
    <row r="65" spans="1:14" x14ac:dyDescent="0.3">
      <c r="A65" t="s">
        <v>189</v>
      </c>
      <c r="B65" s="3">
        <f>Historicals!B97</f>
        <v>-83</v>
      </c>
      <c r="C65" s="3">
        <f>Historicals!C97</f>
        <v>-105</v>
      </c>
      <c r="D65" s="3">
        <f>Historicals!D97</f>
        <v>-20</v>
      </c>
      <c r="E65" s="3">
        <f>Historicals!E97</f>
        <v>45</v>
      </c>
      <c r="F65" s="3">
        <f>Historicals!F97</f>
        <v>-129</v>
      </c>
      <c r="G65" s="3">
        <f>Historicals!G97</f>
        <v>-66</v>
      </c>
      <c r="H65" s="3">
        <f>Historicals!H97</f>
        <v>143</v>
      </c>
      <c r="I65" s="3">
        <f>Historicals!I97</f>
        <v>-143</v>
      </c>
      <c r="J65" s="3"/>
      <c r="K65" s="3"/>
      <c r="L65" s="3"/>
      <c r="M65" s="3"/>
      <c r="N65" s="3"/>
    </row>
    <row r="66" spans="1:14" x14ac:dyDescent="0.3">
      <c r="A66" s="27" t="s">
        <v>190</v>
      </c>
      <c r="B66" s="26">
        <f>B55+B58+B64+B65</f>
        <v>1632</v>
      </c>
      <c r="C66" s="26">
        <f>C55+C58+C64+C65</f>
        <v>-714</v>
      </c>
      <c r="D66" s="26">
        <f t="shared" ref="D66:H66" si="37">D55+D58+D64+D65</f>
        <v>670</v>
      </c>
      <c r="E66" s="26">
        <f t="shared" si="37"/>
        <v>441</v>
      </c>
      <c r="F66" s="26">
        <f>F55+F58+F64+F65</f>
        <v>217</v>
      </c>
      <c r="G66" s="26">
        <f>+G55+G58+G64+G65</f>
        <v>3882</v>
      </c>
      <c r="H66" s="26">
        <f t="shared" si="37"/>
        <v>1541</v>
      </c>
      <c r="I66" s="26">
        <f>I55+I58+I64+I65</f>
        <v>-1315</v>
      </c>
      <c r="J66" s="26"/>
      <c r="K66" s="26"/>
      <c r="L66" s="26"/>
      <c r="M66" s="26"/>
      <c r="N66" s="26"/>
    </row>
    <row r="67" spans="1:14" x14ac:dyDescent="0.3">
      <c r="A67" t="s">
        <v>191</v>
      </c>
      <c r="B67" s="3">
        <f>Historicals!B99</f>
        <v>2220</v>
      </c>
      <c r="C67" s="3">
        <f>B68</f>
        <v>3852</v>
      </c>
      <c r="D67" s="3">
        <f>C68</f>
        <v>3138</v>
      </c>
      <c r="E67" s="3">
        <f t="shared" ref="E67:I67" si="38">D68</f>
        <v>3808</v>
      </c>
      <c r="F67" s="3">
        <f t="shared" si="38"/>
        <v>4249</v>
      </c>
      <c r="G67" s="3">
        <f>F68</f>
        <v>4466</v>
      </c>
      <c r="H67" s="3">
        <f t="shared" si="38"/>
        <v>8348</v>
      </c>
      <c r="I67" s="3">
        <f t="shared" si="38"/>
        <v>9889</v>
      </c>
      <c r="J67" s="3"/>
      <c r="K67" s="3"/>
      <c r="L67" s="3"/>
      <c r="M67" s="3"/>
      <c r="N67" s="3"/>
    </row>
    <row r="68" spans="1:14" ht="15" thickBot="1" x14ac:dyDescent="0.35">
      <c r="A68" s="6" t="s">
        <v>192</v>
      </c>
      <c r="B68" s="7">
        <f>B66+B67</f>
        <v>3852</v>
      </c>
      <c r="C68" s="7">
        <f>C66+C67</f>
        <v>3138</v>
      </c>
      <c r="D68" s="7">
        <f>D66+D67</f>
        <v>3808</v>
      </c>
      <c r="E68" s="7">
        <f t="shared" ref="E68:I68" si="39">E66+E67</f>
        <v>4249</v>
      </c>
      <c r="F68" s="7">
        <f>F66+F67</f>
        <v>4466</v>
      </c>
      <c r="G68" s="7">
        <f t="shared" si="39"/>
        <v>8348</v>
      </c>
      <c r="H68" s="7">
        <f t="shared" si="39"/>
        <v>9889</v>
      </c>
      <c r="I68" s="7">
        <f t="shared" si="39"/>
        <v>8574</v>
      </c>
      <c r="J68" s="7"/>
      <c r="K68" s="7"/>
      <c r="L68" s="7"/>
      <c r="M68" s="7"/>
      <c r="N68" s="7"/>
    </row>
    <row r="69" spans="1:14" ht="15" thickTop="1" x14ac:dyDescent="0.3">
      <c r="A69" s="12" t="s">
        <v>172</v>
      </c>
      <c r="B69" s="13">
        <f>+B68-B21</f>
        <v>0</v>
      </c>
      <c r="C69" s="13">
        <f>+C68-C21</f>
        <v>0</v>
      </c>
      <c r="D69" s="13">
        <f t="shared" ref="D69:H69" si="40">+D68-D21</f>
        <v>0</v>
      </c>
      <c r="E69" s="13">
        <f t="shared" si="40"/>
        <v>0</v>
      </c>
      <c r="F69" s="13">
        <f>+F68-F21</f>
        <v>0</v>
      </c>
      <c r="G69" s="13">
        <f t="shared" si="40"/>
        <v>0</v>
      </c>
      <c r="H69" s="13">
        <f t="shared" si="40"/>
        <v>0</v>
      </c>
      <c r="I69" s="13">
        <f>+I68-I21</f>
        <v>0</v>
      </c>
      <c r="J69" s="45"/>
      <c r="K69" s="45"/>
      <c r="L69" s="45"/>
      <c r="M69" s="45"/>
      <c r="N69" s="45"/>
    </row>
    <row r="70" spans="1:14" x14ac:dyDescent="0.3">
      <c r="A70" s="1" t="s">
        <v>193</v>
      </c>
      <c r="B70" s="45">
        <f>(B33+B36)-(B21+B22)</f>
        <v>-4738</v>
      </c>
      <c r="C70" s="45">
        <f t="shared" ref="C70:I70" si="41">(C33+C36)-(C21+C22)</f>
        <v>-3403</v>
      </c>
      <c r="D70" s="45">
        <f t="shared" si="41"/>
        <v>-2702</v>
      </c>
      <c r="E70" s="45">
        <f t="shared" si="41"/>
        <v>-1771</v>
      </c>
      <c r="F70" s="45">
        <f t="shared" si="41"/>
        <v>-1193</v>
      </c>
      <c r="G70" s="45">
        <f t="shared" si="41"/>
        <v>622</v>
      </c>
      <c r="H70" s="45">
        <f t="shared" si="41"/>
        <v>-4063</v>
      </c>
      <c r="I70" s="45">
        <f t="shared" si="41"/>
        <v>-3577</v>
      </c>
      <c r="J70" s="45"/>
      <c r="K70" s="45"/>
      <c r="L70" s="45"/>
      <c r="M70" s="45"/>
      <c r="N70" s="45"/>
    </row>
    <row r="74" spans="1:14" x14ac:dyDescent="0.3">
      <c r="A74" s="1" t="s">
        <v>199</v>
      </c>
    </row>
    <row r="75" spans="1:14" x14ac:dyDescent="0.3">
      <c r="A75" t="s">
        <v>195</v>
      </c>
      <c r="B75" s="8">
        <v>3947</v>
      </c>
    </row>
    <row r="76" spans="1:14" x14ac:dyDescent="0.3">
      <c r="A76" t="s">
        <v>196</v>
      </c>
      <c r="B76" s="8">
        <v>3434</v>
      </c>
    </row>
    <row r="77" spans="1:14" x14ac:dyDescent="0.3">
      <c r="A77" t="s">
        <v>197</v>
      </c>
      <c r="B77" s="8">
        <v>1930</v>
      </c>
    </row>
    <row r="78" spans="1:14" s="1" customFormat="1" x14ac:dyDescent="0.3">
      <c r="A78" s="1" t="s">
        <v>198</v>
      </c>
      <c r="B78" s="64">
        <f>(B75+B76)-B77</f>
        <v>5451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Historicals</vt:lpstr>
      <vt:lpstr>Assumptions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2024-01-09T17:48:39Z</dcterms:modified>
</cp:coreProperties>
</file>