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411"/>
  <workbookPr defaultThemeVersion="166925"/>
  <mc:AlternateContent xmlns:mc="http://schemas.openxmlformats.org/markup-compatibility/2006">
    <mc:Choice Requires="x15">
      <x15ac:absPath xmlns:x15ac="http://schemas.microsoft.com/office/spreadsheetml/2010/11/ac" url="/Users/aishaidrismahama/Downloads/"/>
    </mc:Choice>
  </mc:AlternateContent>
  <xr:revisionPtr revIDLastSave="0" documentId="8_{43714A46-A624-F945-AB0D-99EEF6651DC1}" xr6:coauthVersionLast="46" xr6:coauthVersionMax="46" xr10:uidLastSave="{00000000-0000-0000-0000-000000000000}"/>
  <bookViews>
    <workbookView xWindow="0" yWindow="0" windowWidth="28800" windowHeight="18000" activeTab="2" xr2:uid="{00000000-000D-0000-FFFF-FFFF00000000}"/>
  </bookViews>
  <sheets>
    <sheet name="Instructions" sheetId="2" r:id="rId1"/>
    <sheet name="Financial Statements" sheetId="1" r:id="rId2"/>
    <sheet name="List of Ratios" sheetId="3" r:id="rId3"/>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33" i="3" l="1"/>
  <c r="D133" i="3"/>
  <c r="C133" i="3"/>
  <c r="C129" i="3"/>
  <c r="D129" i="3"/>
  <c r="E129" i="3"/>
  <c r="E125" i="3"/>
  <c r="D125" i="3"/>
  <c r="C125" i="3"/>
  <c r="C121" i="3"/>
  <c r="D121" i="3"/>
  <c r="E121" i="3"/>
  <c r="E117" i="3"/>
  <c r="D117" i="3"/>
  <c r="C117" i="3"/>
  <c r="C113" i="3"/>
  <c r="D113" i="3"/>
  <c r="E113" i="3"/>
  <c r="E110" i="3"/>
  <c r="D110" i="3"/>
  <c r="C110" i="3"/>
  <c r="C106" i="3"/>
  <c r="D106" i="3"/>
  <c r="E106" i="3"/>
  <c r="E102" i="3"/>
  <c r="D102" i="3"/>
  <c r="C102" i="3"/>
  <c r="E101" i="3"/>
  <c r="D101" i="3"/>
  <c r="C101" i="3"/>
  <c r="C99" i="3"/>
  <c r="C98" i="3"/>
  <c r="C97" i="3"/>
  <c r="C96" i="3"/>
  <c r="C95" i="3"/>
  <c r="C94" i="3"/>
  <c r="C93" i="3"/>
  <c r="C92" i="3"/>
  <c r="C91" i="3"/>
  <c r="C90" i="3"/>
  <c r="C89" i="3"/>
  <c r="C88" i="3"/>
  <c r="C87" i="3"/>
  <c r="C86" i="3"/>
  <c r="C85" i="3"/>
  <c r="C84" i="3"/>
  <c r="C83" i="3"/>
  <c r="C82" i="3"/>
  <c r="C81" i="3"/>
  <c r="C80" i="3"/>
  <c r="C79" i="3"/>
  <c r="C78" i="3"/>
  <c r="C77" i="3"/>
  <c r="C76" i="3"/>
  <c r="C75" i="3"/>
  <c r="C74" i="3"/>
  <c r="C73" i="3"/>
  <c r="C72" i="3"/>
  <c r="C71" i="3"/>
  <c r="C70" i="3"/>
  <c r="C69" i="3"/>
  <c r="C68" i="3"/>
  <c r="C67" i="3"/>
  <c r="C66" i="3"/>
  <c r="C65" i="3"/>
  <c r="C64" i="3"/>
  <c r="C63" i="3"/>
  <c r="C62" i="3"/>
  <c r="C61" i="3"/>
  <c r="C60" i="3"/>
  <c r="C59" i="3"/>
  <c r="C58" i="3"/>
  <c r="C57" i="3"/>
  <c r="C56" i="3"/>
  <c r="C55" i="3"/>
  <c r="C54" i="3"/>
  <c r="D54" i="3"/>
  <c r="E48" i="3"/>
  <c r="D48" i="3"/>
  <c r="C48" i="3"/>
  <c r="C46" i="3"/>
  <c r="E45" i="3"/>
  <c r="D45" i="3"/>
  <c r="C45" i="3"/>
  <c r="E43" i="3"/>
  <c r="D43" i="3"/>
  <c r="C43" i="3"/>
  <c r="E41" i="3"/>
  <c r="D41" i="3"/>
  <c r="C41" i="3"/>
  <c r="C30" i="3"/>
  <c r="E31" i="3"/>
  <c r="D31" i="3"/>
  <c r="D30" i="3" s="1"/>
  <c r="C31" i="3"/>
  <c r="E30" i="3"/>
  <c r="C29" i="3"/>
  <c r="D29" i="3"/>
  <c r="E29" i="3"/>
  <c r="C27" i="3"/>
  <c r="D27" i="3"/>
  <c r="E27" i="3"/>
  <c r="E28" i="3"/>
  <c r="E26" i="3"/>
  <c r="D26" i="3"/>
  <c r="C26" i="3"/>
  <c r="E25" i="3"/>
  <c r="D25" i="3"/>
  <c r="C25" i="3"/>
  <c r="E8" i="3"/>
  <c r="D8" i="3"/>
  <c r="C8" i="3"/>
  <c r="E46" i="3" l="1"/>
  <c r="D46" i="3"/>
  <c r="E40" i="3"/>
  <c r="D40" i="3"/>
  <c r="C40" i="3"/>
  <c r="E36" i="3"/>
  <c r="D36" i="3"/>
  <c r="C36" i="3"/>
  <c r="C9" i="3"/>
  <c r="D9" i="3"/>
  <c r="E9" i="3"/>
  <c r="D108" i="1" l="1"/>
  <c r="C108" i="1"/>
  <c r="B108" i="1"/>
  <c r="D99" i="1"/>
  <c r="C99" i="1"/>
  <c r="B99" i="1"/>
  <c r="D68" i="1" l="1"/>
  <c r="E42" i="3" s="1"/>
  <c r="C68" i="1"/>
  <c r="D42" i="3" s="1"/>
  <c r="B68" i="1"/>
  <c r="C42" i="3" s="1"/>
  <c r="D61" i="1"/>
  <c r="C61" i="1"/>
  <c r="B61" i="1"/>
  <c r="D56" i="1"/>
  <c r="E7" i="3" s="1"/>
  <c r="C56" i="1"/>
  <c r="D7" i="3" s="1"/>
  <c r="B56" i="1"/>
  <c r="C7" i="3" s="1"/>
  <c r="D47" i="1"/>
  <c r="C47" i="1"/>
  <c r="B47" i="1"/>
  <c r="G5" i="3" s="1"/>
  <c r="D42" i="1"/>
  <c r="C42" i="1"/>
  <c r="B42" i="1"/>
  <c r="D17" i="1"/>
  <c r="C17" i="1"/>
  <c r="B17" i="1"/>
  <c r="D12" i="1"/>
  <c r="E10" i="3" s="1"/>
  <c r="C12" i="1"/>
  <c r="D10" i="3" s="1"/>
  <c r="B12" i="1"/>
  <c r="D8" i="1"/>
  <c r="C8" i="1"/>
  <c r="B8" i="1"/>
  <c r="E3" i="3"/>
  <c r="D3" i="3"/>
  <c r="C3" i="3"/>
  <c r="D33" i="1"/>
  <c r="D73" i="1" s="1"/>
  <c r="C33" i="1"/>
  <c r="C73" i="1" s="1"/>
  <c r="B33" i="1"/>
  <c r="B73" i="1" s="1"/>
  <c r="C11" i="3" l="1"/>
  <c r="C35" i="3"/>
  <c r="D34" i="3"/>
  <c r="D11" i="3"/>
  <c r="D12" i="3" s="1"/>
  <c r="D35" i="3"/>
  <c r="C6" i="3"/>
  <c r="C5" i="3"/>
  <c r="C14" i="3"/>
  <c r="C13" i="3" s="1"/>
  <c r="E35" i="3"/>
  <c r="E34" i="3"/>
  <c r="E11" i="3"/>
  <c r="E12" i="3" s="1"/>
  <c r="D14" i="3"/>
  <c r="D5" i="3"/>
  <c r="D6" i="3"/>
  <c r="C10" i="3"/>
  <c r="E14" i="3"/>
  <c r="E6" i="3"/>
  <c r="C13" i="1"/>
  <c r="B48" i="1"/>
  <c r="C34" i="3" s="1"/>
  <c r="D13" i="1"/>
  <c r="B62" i="1"/>
  <c r="C62" i="1"/>
  <c r="B13" i="1"/>
  <c r="C48" i="1"/>
  <c r="D62" i="1"/>
  <c r="C69" i="1"/>
  <c r="D51" i="3" s="1"/>
  <c r="D48" i="1"/>
  <c r="A47" i="3"/>
  <c r="A49" i="3" s="1"/>
  <c r="A16" i="3"/>
  <c r="A17" i="3" s="1"/>
  <c r="A18" i="3" s="1"/>
  <c r="A20" i="3" s="1"/>
  <c r="A22" i="3" s="1"/>
  <c r="A5" i="3"/>
  <c r="A6" i="3" s="1"/>
  <c r="A7" i="3" s="1"/>
  <c r="A8" i="3" s="1"/>
  <c r="A9" i="3" s="1"/>
  <c r="A10" i="3" s="1"/>
  <c r="A11" i="3" s="1"/>
  <c r="A12" i="3" s="1"/>
  <c r="A13" i="3" s="1"/>
  <c r="D69" i="1" l="1"/>
  <c r="E51" i="3" s="1"/>
  <c r="B69" i="1"/>
  <c r="D18" i="1"/>
  <c r="E17" i="3"/>
  <c r="C17" i="3"/>
  <c r="B18" i="1"/>
  <c r="D13" i="3"/>
  <c r="C12" i="3"/>
  <c r="C18" i="1"/>
  <c r="D17" i="3"/>
  <c r="E13" i="3"/>
  <c r="A24" i="3"/>
  <c r="A25" i="3" s="1"/>
  <c r="A26" i="3" s="1"/>
  <c r="A27" i="3" s="1"/>
  <c r="A28" i="3" s="1"/>
  <c r="A29" i="3" s="1"/>
  <c r="A30" i="3" s="1"/>
  <c r="C28" i="3" l="1"/>
  <c r="C21" i="3"/>
  <c r="C18" i="3"/>
  <c r="C19" i="3"/>
  <c r="C50" i="3" s="1"/>
  <c r="D20" i="1"/>
  <c r="D22" i="1" s="1"/>
  <c r="E18" i="3"/>
  <c r="E19" i="3"/>
  <c r="E50" i="3" s="1"/>
  <c r="E21" i="3"/>
  <c r="C20" i="1"/>
  <c r="C22" i="1" s="1"/>
  <c r="D18" i="3"/>
  <c r="D19" i="3"/>
  <c r="D50" i="3" s="1"/>
  <c r="D28" i="3"/>
  <c r="D21" i="3"/>
  <c r="B20" i="1"/>
  <c r="B22" i="1" s="1"/>
  <c r="A33" i="3"/>
  <c r="A34" i="3" s="1"/>
  <c r="A35" i="3" s="1"/>
  <c r="A36" i="3" s="1"/>
  <c r="A37" i="3" s="1"/>
  <c r="C76" i="1" l="1"/>
  <c r="C91" i="1" s="1"/>
  <c r="C109" i="1" s="1"/>
  <c r="D49" i="3"/>
  <c r="D44" i="3"/>
  <c r="D37" i="3"/>
  <c r="D22" i="3"/>
  <c r="D47" i="3"/>
  <c r="B76" i="1"/>
  <c r="B91" i="1" s="1"/>
  <c r="B109" i="1" s="1"/>
  <c r="C47" i="3"/>
  <c r="C44" i="3"/>
  <c r="C37" i="3"/>
  <c r="C22" i="3"/>
  <c r="C49" i="3"/>
  <c r="E20" i="3"/>
  <c r="D76" i="1"/>
  <c r="D91" i="1" s="1"/>
  <c r="D109" i="1" s="1"/>
  <c r="E49" i="3"/>
  <c r="E47" i="3"/>
  <c r="E44" i="3"/>
  <c r="E37" i="3"/>
  <c r="E22" i="3"/>
  <c r="C20" i="3"/>
  <c r="A39" i="3"/>
  <c r="A40" i="3" s="1"/>
  <c r="A41" i="3" s="1"/>
  <c r="A42" i="3" s="1"/>
  <c r="A43" i="3" s="1"/>
  <c r="A44" i="3" s="1"/>
  <c r="A46" i="3" s="1"/>
  <c r="A48" i="3" s="1"/>
  <c r="A50" i="3" s="1"/>
  <c r="D20" i="3"/>
</calcChain>
</file>

<file path=xl/sharedStrings.xml><?xml version="1.0" encoding="utf-8"?>
<sst xmlns="http://schemas.openxmlformats.org/spreadsheetml/2006/main" count="286" uniqueCount="262">
  <si>
    <t>Apple Inc.</t>
  </si>
  <si>
    <t>CONSOLIDATED STATEMENTS OF OPERATIONS</t>
  </si>
  <si>
    <t>(In millions, except number of shares which are reflected in thousands and per share amounts)</t>
  </si>
  <si>
    <t>Net sales:</t>
  </si>
  <si>
    <t>Products</t>
  </si>
  <si>
    <t>Services</t>
  </si>
  <si>
    <t>Total net sales</t>
  </si>
  <si>
    <t>Cost of sales:</t>
  </si>
  <si>
    <t>Total cost of sales</t>
  </si>
  <si>
    <t>Gross margin</t>
  </si>
  <si>
    <t>Operating expenses:</t>
  </si>
  <si>
    <t>Research and development</t>
  </si>
  <si>
    <t>Selling, general and administrative</t>
  </si>
  <si>
    <t>Total operating expenses</t>
  </si>
  <si>
    <t>Operating income</t>
  </si>
  <si>
    <t>Other income/(expense), net</t>
  </si>
  <si>
    <t>Income before provision for income taxes</t>
  </si>
  <si>
    <t>Provision for income taxes</t>
  </si>
  <si>
    <t>Net income</t>
  </si>
  <si>
    <t>Earnings per share:</t>
  </si>
  <si>
    <t>Basic</t>
  </si>
  <si>
    <t>Diluted</t>
  </si>
  <si>
    <t>Shares used in computing earnings per share:</t>
  </si>
  <si>
    <t>Years ended September,</t>
  </si>
  <si>
    <t>CONSOLIDATED BALANCE SHEETS</t>
  </si>
  <si>
    <t>Current assets:</t>
  </si>
  <si>
    <t>Cash and cash equivalents</t>
  </si>
  <si>
    <t>Marketable securities</t>
  </si>
  <si>
    <t>Accounts receivable, net</t>
  </si>
  <si>
    <t>Inventories</t>
  </si>
  <si>
    <t>Other current assets</t>
  </si>
  <si>
    <t>Total current assets</t>
  </si>
  <si>
    <t>Property, plant and equipment, net</t>
  </si>
  <si>
    <t>Total assets</t>
  </si>
  <si>
    <t>Current liabilities:</t>
  </si>
  <si>
    <t>Accounts payable</t>
  </si>
  <si>
    <t>Other current liabilities</t>
  </si>
  <si>
    <t>Deferred revenue</t>
  </si>
  <si>
    <t>Commercial paper</t>
  </si>
  <si>
    <t>Term debt</t>
  </si>
  <si>
    <t>Total current liabilities</t>
  </si>
  <si>
    <t>Total liabilities</t>
  </si>
  <si>
    <t>Shareholders’ equity:</t>
  </si>
  <si>
    <t>Retained earnings</t>
  </si>
  <si>
    <t>Accumulated other comprehensive income/(loss)</t>
  </si>
  <si>
    <t>Total shareholders’ equity</t>
  </si>
  <si>
    <t>Total liabilities and shareholders’ equity</t>
  </si>
  <si>
    <t>Vendor non trade receivables</t>
  </si>
  <si>
    <t>Non current assets:</t>
  </si>
  <si>
    <t>Other non current assets</t>
  </si>
  <si>
    <t>Total non current assets</t>
  </si>
  <si>
    <t>Non current liabilities:</t>
  </si>
  <si>
    <t>Other non current liabilities</t>
  </si>
  <si>
    <t>Total non current liabilities</t>
  </si>
  <si>
    <t>Common stock and additional paid in capital, $0.00001 par value: 12,600,000 shares authorized; 4,443,236 and 4,754,986 shares issued and outstanding, respectively</t>
  </si>
  <si>
    <t>CONSOLIDATED STATEMENTS OF CASH FLOWS</t>
  </si>
  <si>
    <t>Cash, cash equivalents and restricted cash, beginning balances</t>
  </si>
  <si>
    <t>Operating activities:</t>
  </si>
  <si>
    <t>Adjustments to reconcile net income to cash generated by operating</t>
  </si>
  <si>
    <t>Depreciation and amortization</t>
  </si>
  <si>
    <t>Deferred income tax expense/(benefit)</t>
  </si>
  <si>
    <t>Other</t>
  </si>
  <si>
    <t>Changes in operating assets and liabilities:</t>
  </si>
  <si>
    <t>Cash generated by operating activities</t>
  </si>
  <si>
    <t>Investing activities:</t>
  </si>
  <si>
    <t>Purchases of marketable securities</t>
  </si>
  <si>
    <t>Proceeds from maturities of marketable securities</t>
  </si>
  <si>
    <t>Proceeds from sales of marketable securities</t>
  </si>
  <si>
    <t>Payments for acquisition of property, plant and equipment</t>
  </si>
  <si>
    <t>Payments made in connection with business acquisitions, net</t>
  </si>
  <si>
    <t>Cash generated by/(used in) investing activities</t>
  </si>
  <si>
    <t>Financing activities:</t>
  </si>
  <si>
    <t>Payments for dividends and dividend equivalents</t>
  </si>
  <si>
    <t>Repurchases of common stock</t>
  </si>
  <si>
    <t>Proceeds from issuance of term debt, net</t>
  </si>
  <si>
    <t>Repayments of term debt</t>
  </si>
  <si>
    <t>Proceeds from/(Repayments of) commercial paper, net</t>
  </si>
  <si>
    <t>Cash used in financing activities</t>
  </si>
  <si>
    <t>Increase/(Decrease) in cash, cash equivalents and restricted</t>
  </si>
  <si>
    <t>Cash, cash equivalents and restricted cash, ending balances</t>
  </si>
  <si>
    <t>Supplemental cash flow disclosure:</t>
  </si>
  <si>
    <t>Cash paid for income taxes, net</t>
  </si>
  <si>
    <t>Cash paid for interest</t>
  </si>
  <si>
    <t>Share based compensation expense</t>
  </si>
  <si>
    <t>Other current and non current assets</t>
  </si>
  <si>
    <t>Other current and non current liabilities</t>
  </si>
  <si>
    <t>Payments for taxes related to net share settlement of equity awards</t>
  </si>
  <si>
    <t>Instructions</t>
  </si>
  <si>
    <t>https://investor.apple.com/investor-relations/default.aspx</t>
  </si>
  <si>
    <t>Gross profits</t>
  </si>
  <si>
    <t>Each operating expenses</t>
  </si>
  <si>
    <t>Main line items of the balance sheet</t>
  </si>
  <si>
    <t>You are required to calculate margins/ as a % of net sales for the following:</t>
  </si>
  <si>
    <t>Net profit</t>
  </si>
  <si>
    <t>Income tax rate</t>
  </si>
  <si>
    <t>Capex as a percentage of sales</t>
  </si>
  <si>
    <t>Capex as a percentage of fixed assets</t>
  </si>
  <si>
    <t>You are required to perform a ratio analysis in excel using the information provided from this financial statements</t>
  </si>
  <si>
    <t>You are required to calculate the following additional items</t>
  </si>
  <si>
    <t>Liquidity</t>
  </si>
  <si>
    <t>Current ratio</t>
  </si>
  <si>
    <t>Quick Ratio</t>
  </si>
  <si>
    <t>Cash Ratio</t>
  </si>
  <si>
    <t>Inventory Days</t>
  </si>
  <si>
    <t>Payable Days</t>
  </si>
  <si>
    <t>Receivable Days</t>
  </si>
  <si>
    <t>Net trading cycle</t>
  </si>
  <si>
    <t>Working Capital as a % of Sales</t>
  </si>
  <si>
    <t>Working Capital</t>
  </si>
  <si>
    <t>Profitability</t>
  </si>
  <si>
    <t>EBITDA margin</t>
  </si>
  <si>
    <t>EBITDA</t>
  </si>
  <si>
    <t>EBIT margin</t>
  </si>
  <si>
    <t>EBIT</t>
  </si>
  <si>
    <t>Net margin</t>
  </si>
  <si>
    <t>Solvency/ debt management</t>
  </si>
  <si>
    <t>Debt to equity (D/E)</t>
  </si>
  <si>
    <t>Debt to total assets</t>
  </si>
  <si>
    <t>Long-term debt to capital</t>
  </si>
  <si>
    <t>Times interest earned</t>
  </si>
  <si>
    <t>Debt coverage</t>
  </si>
  <si>
    <t>Free cash flow (FCFE) per share</t>
  </si>
  <si>
    <t>FCFE</t>
  </si>
  <si>
    <t>Asset utilization</t>
  </si>
  <si>
    <t>Total asset turnover</t>
  </si>
  <si>
    <t>Fixed asset turnover</t>
  </si>
  <si>
    <t>Inventory turnover</t>
  </si>
  <si>
    <t>Return on assets (ROA)</t>
  </si>
  <si>
    <t>Investor/market ratios</t>
  </si>
  <si>
    <t>Price to equity (P/E)</t>
  </si>
  <si>
    <t>Earnings per share (EPS)</t>
  </si>
  <si>
    <t>Price to book value (PBV)</t>
  </si>
  <si>
    <t>Book value per share (BV)</t>
  </si>
  <si>
    <t>Dividend payout ratio</t>
  </si>
  <si>
    <t>Dividend per share</t>
  </si>
  <si>
    <t>Dividend yield</t>
  </si>
  <si>
    <t>Return on equity (ROE)</t>
  </si>
  <si>
    <t>Return on capital employed (ROCE)</t>
  </si>
  <si>
    <t>Enterprise value to EBITDA (EV/EBITDA)</t>
  </si>
  <si>
    <t>Enterprise value (EV)</t>
  </si>
  <si>
    <t>Sheet contains the financial statements of Apple Inc. extracted from the most recent annual report:</t>
  </si>
  <si>
    <t>As at September,</t>
  </si>
  <si>
    <t>https://www.bloomberg.com/quote/AAPL:US</t>
  </si>
  <si>
    <t>* Market information like share price should be obtained from bloomberg.com from the particular day's closing price</t>
  </si>
  <si>
    <t>Sales (each category and net sales)</t>
  </si>
  <si>
    <t>COGS (Cost of goods sold)</t>
  </si>
  <si>
    <t>All of the above ratios should be calculated in the "List of Ratios" tab</t>
  </si>
  <si>
    <t>The ratios that should be calculated are listed in the ratios tab</t>
  </si>
  <si>
    <t>In addition to the above, you are required to calculate the growth rates for the following:</t>
  </si>
  <si>
    <t>Defensive Interval (Days)</t>
  </si>
  <si>
    <t>for inventory days I didn’t include services in my cogs calculation as I assumed it would skew results</t>
  </si>
  <si>
    <t>used formula fcfe= net income- capex-working capital-Net borrowing and took capex value as negative</t>
  </si>
  <si>
    <t>Product Sales growth FY20-21=34.7%</t>
  </si>
  <si>
    <t>Product Sales growth FY21-22=6.32%</t>
  </si>
  <si>
    <t>Services Sales growth FY20-21= 27.26%</t>
  </si>
  <si>
    <t>Services Sales growth FY22-22= 14.18%</t>
  </si>
  <si>
    <t>Net sales growth FY20-21=33.2%</t>
  </si>
  <si>
    <t>Net sales growth FY21-22=7.79%</t>
  </si>
  <si>
    <t>Gross profit growth FY20-21=45.6%</t>
  </si>
  <si>
    <t>Gross profit growth FY21-22=11.74%</t>
  </si>
  <si>
    <t>R&amp;D Operating expenses growth FY20-21=16.86%</t>
  </si>
  <si>
    <t>R&amp;D Operating expenses growth FY21-22=19.79%</t>
  </si>
  <si>
    <t>SGA operating expenses growth FY20-21=10.33%</t>
  </si>
  <si>
    <t>Total operating expenses growth FY20-21=13.5%</t>
  </si>
  <si>
    <t>Total operating expenses growth FY21-22=16.99%</t>
  </si>
  <si>
    <t>Total operating income growth FY20-21=64.36%</t>
  </si>
  <si>
    <t>Total operating income growth FY21-22=9.63%</t>
  </si>
  <si>
    <t>income before provision  for taxes FY20-21 =62.77%</t>
  </si>
  <si>
    <t>income before provision  for income taxes FY21-22 =9.06%</t>
  </si>
  <si>
    <t>Net income growth FY20-21=64.92%</t>
  </si>
  <si>
    <t>Net income growth FY21-22=5.41%</t>
  </si>
  <si>
    <t>Current assets growth FY20-21= -6.18%</t>
  </si>
  <si>
    <t>Current assets growth FY21-22=0.42%</t>
  </si>
  <si>
    <t>Non current asset growth FY20-21=19.98%</t>
  </si>
  <si>
    <t>Non current asset growth FY21-22=0.55%</t>
  </si>
  <si>
    <t>Total Asset growth FY20-21=8.37%</t>
  </si>
  <si>
    <t>Total Asset growth FY21-22=0.5%</t>
  </si>
  <si>
    <t>Total current liabilities growth FY20-21=19.06%</t>
  </si>
  <si>
    <t>Total current liabilities growth FY21-22=22.71%</t>
  </si>
  <si>
    <t>Total non current Liabilities growth FY20-21=6.06%</t>
  </si>
  <si>
    <t>Total non current Liabilities growth FY21-22=-8.82%</t>
  </si>
  <si>
    <t>Total liabilities growth fy20-21=11.36%</t>
  </si>
  <si>
    <t>Total liabilities growth fy21-22=4.92%</t>
  </si>
  <si>
    <t>Totsl shareholder equity growth FY21-22= -19.68%</t>
  </si>
  <si>
    <t>Totsl shareholder equity growth FY20-21= -3.44%</t>
  </si>
  <si>
    <t>Total liabilities &amp; shareholder equity growth FY20-21=8.37%</t>
  </si>
  <si>
    <t>Total liabilities &amp; shareholder equity growth FY21-22=0.499%</t>
  </si>
  <si>
    <t>Cash generated by operating activities growth FY20-21=28.96%</t>
  </si>
  <si>
    <t>Cash generated by operating activities growth FY21-22=17.41%</t>
  </si>
  <si>
    <t>Cash used in financing activities Growth FY20-21=7.52%</t>
  </si>
  <si>
    <t>Cash used in investing activities Growth FY20-21=239%</t>
  </si>
  <si>
    <t>Cash used in investing activities Growth FY21-22=53.69%</t>
  </si>
  <si>
    <t>Cash used in financing activities Growth FY21-22=18.63%</t>
  </si>
  <si>
    <t>Decreasse in Cash/Cash equivalents Growth rate FY20-21=-63.01%</t>
  </si>
  <si>
    <t>Decreasse in Cash/Cash equivalents Growth rate FY21-22=183.01%</t>
  </si>
  <si>
    <t>Cash and cash equivalents growth rate FY20-21=-9.70%</t>
  </si>
  <si>
    <t>Cash and cash equivalents growth rate FY21-22=--30.48%</t>
  </si>
  <si>
    <t>Total current assets/Total current Liabilities</t>
  </si>
  <si>
    <t>Current assets/daily operating expense     Daily operating expense was operating expense/365</t>
  </si>
  <si>
    <t>(Average inventory/Cost of goods )*365</t>
  </si>
  <si>
    <t>(Accounts payable*365)/cost of sales</t>
  </si>
  <si>
    <t>(Accounts receivable * 365)/sale</t>
  </si>
  <si>
    <t>inventory days+ Receivable days - payable days</t>
  </si>
  <si>
    <t>(working capital/net sales)*100</t>
  </si>
  <si>
    <t>Current assets-Current liabilities</t>
  </si>
  <si>
    <t>((Revenue- COGS)/Revenue)*100</t>
  </si>
  <si>
    <t>(Ebitda/revenue)*100</t>
  </si>
  <si>
    <t>Operating income+(depriciation+amortisation)</t>
  </si>
  <si>
    <t>(Operating income/revenue)*100</t>
  </si>
  <si>
    <t>operating income</t>
  </si>
  <si>
    <t>(net income/revenue)*100</t>
  </si>
  <si>
    <t>Total debt/Total equity</t>
  </si>
  <si>
    <t xml:space="preserve">Long term debt/(Long term debt +shareholder equity) may need some help understanding what is considered long term debt </t>
  </si>
  <si>
    <t>operating income/Interest expense</t>
  </si>
  <si>
    <t>FCF/number of outstanding common shares</t>
  </si>
  <si>
    <t>Net sales/total assets</t>
  </si>
  <si>
    <t>Net sales/Fixed assets</t>
  </si>
  <si>
    <t>market share price/earnings per share</t>
  </si>
  <si>
    <t>market share price/book value per share</t>
  </si>
  <si>
    <t>(shareholder equity-prefered equity)/common shares</t>
  </si>
  <si>
    <t>I am aware this figure is most likely incorrect making the one above it incorrect too</t>
  </si>
  <si>
    <t xml:space="preserve">Dividends/net income </t>
  </si>
  <si>
    <t>dividends/ share price</t>
  </si>
  <si>
    <t>dividends per share/share price</t>
  </si>
  <si>
    <t>net income/average total equity</t>
  </si>
  <si>
    <t>net income/average total assets</t>
  </si>
  <si>
    <t>operating income/ capital employed</t>
  </si>
  <si>
    <t>equity value+debt-cash</t>
  </si>
  <si>
    <t>Enterprise value/EBITDA</t>
  </si>
  <si>
    <t>(Current assets - Inventories)/Current liabilities</t>
  </si>
  <si>
    <t>(Cash and cash equivalents+marketable securities)/Total current liabilities</t>
  </si>
  <si>
    <t xml:space="preserve">very inflated please check </t>
  </si>
  <si>
    <t>Net income/average total assets</t>
  </si>
  <si>
    <t>COGS/Average inventory</t>
  </si>
  <si>
    <t>Feedback</t>
  </si>
  <si>
    <t>Current Assets / Daily Operational Expenses where, Daily Operational Expenses = Annual Operating Expenses - Noncash Charges i.e. Depreciation &amp; Amortization</t>
  </si>
  <si>
    <t>Term debt (under long term liabilities)/Total shareholder equity</t>
  </si>
  <si>
    <t>Include only long term debt other items are not considered long term debt, rather they are liabilities</t>
  </si>
  <si>
    <t>For debt link only long term debt other items are not considered long term debt, rather they are liabilities</t>
  </si>
  <si>
    <t>Net Operating Income/ (Interest + Debt repayment)</t>
  </si>
  <si>
    <t>Cash from operations - Capex + Net debt issued</t>
  </si>
  <si>
    <t>Note that the three statements are in millions and share count is in absolute number, therefore divide the share count by 1000 in brackets</t>
  </si>
  <si>
    <t>Link diluted EPS</t>
  </si>
  <si>
    <t>Remove 10000 multiplication.
Share count should be linked to diluted number of share and note that the three statements are in millions and share count is in absolute number, therefore divide the share count by 1000 in brackets</t>
  </si>
  <si>
    <t>EBIT / (Term debt + Shareholder equity)</t>
  </si>
  <si>
    <t>Market Cap (share price * (Diluted number of shares/1000)) + Total Debt - (Cash + Cash Equivalents)</t>
  </si>
  <si>
    <t>Please follow the same formula method for all other growth rates</t>
  </si>
  <si>
    <t>Long term  debt/Total assets</t>
  </si>
  <si>
    <t>net operating income I used income before provision for taxes and I added minus to make the debt repayment figure positive</t>
  </si>
  <si>
    <t>ignoring common shares as it seems they are included in diluted share count</t>
  </si>
  <si>
    <t>How  do I calculate market cap without just googling it?</t>
  </si>
  <si>
    <t>SGA operating expenses growth FY21-22=14.22%</t>
  </si>
  <si>
    <t>Subject matter</t>
  </si>
  <si>
    <t xml:space="preserve">COGS as % of net sales </t>
  </si>
  <si>
    <t xml:space="preserve">Gross Profits as % of net sales </t>
  </si>
  <si>
    <t xml:space="preserve">R&amp;D operating expenses as a % of net sales </t>
  </si>
  <si>
    <t xml:space="preserve">SGA operating expenses as % of net sales </t>
  </si>
  <si>
    <t xml:space="preserve">Operating income as a % of net sales </t>
  </si>
  <si>
    <t>Net profit as a % of net sales</t>
  </si>
  <si>
    <t>income tax rate</t>
  </si>
  <si>
    <t xml:space="preserve">Capex as % of sales </t>
  </si>
  <si>
    <t xml:space="preserve">Capex as % of fixed assets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</si>
</sst>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_(* #,##0_);_(* \(#,##0\);_(* &quot;-&quot;??_);_(@_)"/>
    <numFmt numFmtId="165" formatCode="0.0"/>
    <numFmt numFmtId="166" formatCode="0.0%"/>
  </numFmts>
  <fonts count="9"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18"/>
      <color theme="0"/>
      <name val="Calibri"/>
      <family val="2"/>
      <scheme val="minor"/>
    </font>
    <font>
      <b/>
      <sz val="20"/>
      <color theme="0"/>
      <name val="Calibri"/>
      <family val="2"/>
      <scheme val="minor"/>
    </font>
    <font>
      <u/>
      <sz val="11"/>
      <color theme="10"/>
      <name val="Calibri"/>
      <family val="2"/>
      <scheme val="minor"/>
    </font>
    <font>
      <sz val="20"/>
      <color theme="0"/>
      <name val="Calibri"/>
      <family val="2"/>
      <scheme val="minor"/>
    </font>
    <font>
      <sz val="14"/>
      <color theme="0"/>
      <name val="Calibri"/>
      <family val="2"/>
      <scheme val="minor"/>
    </font>
  </fonts>
  <fills count="7">
    <fill>
      <patternFill patternType="none"/>
    </fill>
    <fill>
      <patternFill patternType="gray125"/>
    </fill>
    <fill>
      <patternFill patternType="solid">
        <fgColor rgb="FF002060"/>
        <bgColor indexed="64"/>
      </patternFill>
    </fill>
    <fill>
      <patternFill patternType="solid">
        <fgColor theme="3" tint="0.59999389629810485"/>
        <bgColor indexed="64"/>
      </patternFill>
    </fill>
    <fill>
      <patternFill patternType="solid">
        <fgColor theme="9" tint="0.79998168889431442"/>
        <bgColor indexed="64"/>
      </patternFill>
    </fill>
    <fill>
      <patternFill patternType="solid">
        <fgColor rgb="FFFFFF00"/>
        <bgColor indexed="64"/>
      </patternFill>
    </fill>
    <fill>
      <patternFill patternType="solid">
        <fgColor rgb="FF00B050"/>
        <bgColor indexed="64"/>
      </patternFill>
    </fill>
  </fills>
  <borders count="4">
    <border>
      <left/>
      <right/>
      <top/>
      <bottom/>
      <diagonal/>
    </border>
    <border>
      <left/>
      <right/>
      <top style="thin">
        <color indexed="64"/>
      </top>
      <bottom/>
      <diagonal/>
    </border>
    <border>
      <left/>
      <right/>
      <top style="thin">
        <color indexed="64"/>
      </top>
      <bottom style="double">
        <color indexed="64"/>
      </bottom>
      <diagonal/>
    </border>
    <border>
      <left/>
      <right/>
      <top style="thin">
        <color indexed="64"/>
      </top>
      <bottom style="thin">
        <color indexed="64"/>
      </bottom>
      <diagonal/>
    </border>
  </borders>
  <cellStyleXfs count="4">
    <xf numFmtId="0" fontId="0" fillId="0" borderId="0"/>
    <xf numFmtId="43" fontId="1" fillId="0" borderId="0" applyFont="0" applyFill="0" applyBorder="0" applyAlignment="0" applyProtection="0"/>
    <xf numFmtId="0" fontId="6" fillId="0" borderId="0" applyNumberFormat="0" applyFill="0" applyBorder="0" applyAlignment="0" applyProtection="0"/>
    <xf numFmtId="9" fontId="1" fillId="0" borderId="0" applyFont="0" applyFill="0" applyBorder="0" applyAlignment="0" applyProtection="0"/>
  </cellStyleXfs>
  <cellXfs count="38">
    <xf numFmtId="0" fontId="0" fillId="0" borderId="0" xfId="0"/>
    <xf numFmtId="0" fontId="0" fillId="0" borderId="0" xfId="0" applyAlignment="1">
      <alignment horizontal="left" indent="1"/>
    </xf>
    <xf numFmtId="3" fontId="0" fillId="0" borderId="0" xfId="0" applyNumberFormat="1"/>
    <xf numFmtId="0" fontId="0" fillId="0" borderId="0" xfId="0" applyAlignment="1">
      <alignment horizontal="left" indent="2"/>
    </xf>
    <xf numFmtId="0" fontId="3" fillId="2" borderId="0" xfId="0" applyFont="1" applyFill="1"/>
    <xf numFmtId="0" fontId="4" fillId="2" borderId="0" xfId="0" applyFont="1" applyFill="1"/>
    <xf numFmtId="0" fontId="5" fillId="2" borderId="0" xfId="0" applyFont="1" applyFill="1" applyAlignment="1">
      <alignment vertical="center"/>
    </xf>
    <xf numFmtId="0" fontId="2" fillId="0" borderId="0" xfId="0" applyFont="1"/>
    <xf numFmtId="0" fontId="2" fillId="0" borderId="1" xfId="0" applyFont="1" applyBorder="1"/>
    <xf numFmtId="0" fontId="2" fillId="0" borderId="2" xfId="0" applyFont="1" applyBorder="1"/>
    <xf numFmtId="0" fontId="0" fillId="4" borderId="0" xfId="0" applyFill="1"/>
    <xf numFmtId="0" fontId="2" fillId="0" borderId="0" xfId="0" applyFont="1" applyAlignment="1">
      <alignment horizontal="left" indent="1"/>
    </xf>
    <xf numFmtId="164" fontId="0" fillId="0" borderId="0" xfId="1" applyNumberFormat="1" applyFont="1"/>
    <xf numFmtId="164" fontId="2" fillId="0" borderId="1" xfId="1" applyNumberFormat="1" applyFont="1" applyBorder="1"/>
    <xf numFmtId="164" fontId="2" fillId="0" borderId="2" xfId="1" applyNumberFormat="1" applyFont="1" applyBorder="1"/>
    <xf numFmtId="164" fontId="2" fillId="0" borderId="0" xfId="1" applyNumberFormat="1" applyFont="1"/>
    <xf numFmtId="0" fontId="6" fillId="0" borderId="0" xfId="2" applyAlignment="1">
      <alignment horizontal="left" indent="1"/>
    </xf>
    <xf numFmtId="0" fontId="2" fillId="0" borderId="0" xfId="0" applyFont="1" applyAlignment="1">
      <alignment horizontal="left"/>
    </xf>
    <xf numFmtId="165" fontId="0" fillId="0" borderId="0" xfId="0" applyNumberFormat="1"/>
    <xf numFmtId="0" fontId="3" fillId="2" borderId="0" xfId="0" applyFont="1" applyFill="1" applyAlignment="1">
      <alignment horizontal="center"/>
    </xf>
    <xf numFmtId="0" fontId="7" fillId="2" borderId="0" xfId="0" applyFont="1" applyFill="1" applyAlignment="1">
      <alignment horizontal="left"/>
    </xf>
    <xf numFmtId="0" fontId="2" fillId="0" borderId="0" xfId="0" applyFont="1" applyBorder="1"/>
    <xf numFmtId="164" fontId="0" fillId="0" borderId="3" xfId="1" applyNumberFormat="1" applyFont="1" applyBorder="1"/>
    <xf numFmtId="0" fontId="2" fillId="0" borderId="3" xfId="0" applyFont="1" applyBorder="1" applyAlignment="1">
      <alignment horizontal="left"/>
    </xf>
    <xf numFmtId="4" fontId="0" fillId="0" borderId="0" xfId="0" applyNumberFormat="1"/>
    <xf numFmtId="10" fontId="0" fillId="0" borderId="0" xfId="0" applyNumberFormat="1"/>
    <xf numFmtId="2" fontId="0" fillId="5" borderId="0" xfId="0" applyNumberFormat="1" applyFill="1"/>
    <xf numFmtId="0" fontId="2" fillId="0" borderId="0" xfId="0" applyFont="1" applyAlignment="1">
      <alignment horizontal="center"/>
    </xf>
    <xf numFmtId="2" fontId="0" fillId="0" borderId="0" xfId="0" applyNumberFormat="1"/>
    <xf numFmtId="0" fontId="0" fillId="0" borderId="0" xfId="0" applyAlignment="1">
      <alignment wrapText="1"/>
    </xf>
    <xf numFmtId="166" fontId="0" fillId="5" borderId="0" xfId="3" applyNumberFormat="1" applyFont="1" applyFill="1"/>
    <xf numFmtId="0" fontId="8" fillId="2" borderId="0" xfId="0" applyFont="1" applyFill="1" applyAlignment="1">
      <alignment horizontal="center"/>
    </xf>
    <xf numFmtId="0" fontId="2" fillId="0" borderId="0" xfId="0" applyFont="1" applyAlignment="1">
      <alignment horizontal="center"/>
    </xf>
    <xf numFmtId="0" fontId="2" fillId="3" borderId="0" xfId="0" applyFont="1" applyFill="1" applyAlignment="1">
      <alignment horizontal="center"/>
    </xf>
    <xf numFmtId="0" fontId="0" fillId="5" borderId="0" xfId="0" applyFill="1"/>
    <xf numFmtId="0" fontId="0" fillId="0" borderId="0" xfId="0" quotePrefix="1"/>
    <xf numFmtId="0" fontId="0" fillId="6" borderId="0" xfId="0" applyFill="1"/>
    <xf numFmtId="10" fontId="0" fillId="0" borderId="0" xfId="3" applyNumberFormat="1" applyFont="1" applyFill="1"/>
  </cellXfs>
  <cellStyles count="4">
    <cellStyle name="Comma" xfId="1" builtinId="3"/>
    <cellStyle name="Hyperlink" xfId="2" builtinId="8"/>
    <cellStyle name="Normal" xfId="0" builtinId="0"/>
    <cellStyle name="Per 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bloomberg.com/quote/AAPL:US" TargetMode="External"/><Relationship Id="rId1" Type="http://schemas.openxmlformats.org/officeDocument/2006/relationships/hyperlink" Target="https://investor.apple.com/investor-relations/default.aspx"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29"/>
  <sheetViews>
    <sheetView topLeftCell="A2" workbookViewId="0">
      <selection activeCell="A27" sqref="A27"/>
    </sheetView>
  </sheetViews>
  <sheetFormatPr baseColWidth="10" defaultColWidth="8.83203125" defaultRowHeight="15" x14ac:dyDescent="0.2"/>
  <cols>
    <col min="1" max="1" width="104.5" customWidth="1"/>
  </cols>
  <sheetData>
    <row r="1" spans="1:1" ht="24" x14ac:dyDescent="0.3">
      <c r="A1" s="5" t="s">
        <v>87</v>
      </c>
    </row>
    <row r="3" spans="1:1" x14ac:dyDescent="0.2">
      <c r="A3" s="7" t="s">
        <v>140</v>
      </c>
    </row>
    <row r="4" spans="1:1" x14ac:dyDescent="0.2">
      <c r="A4" s="16" t="s">
        <v>88</v>
      </c>
    </row>
    <row r="5" spans="1:1" x14ac:dyDescent="0.2">
      <c r="A5" s="7" t="s">
        <v>97</v>
      </c>
    </row>
    <row r="6" spans="1:1" x14ac:dyDescent="0.2">
      <c r="A6" s="1" t="s">
        <v>147</v>
      </c>
    </row>
    <row r="7" spans="1:1" x14ac:dyDescent="0.2">
      <c r="A7" s="1"/>
    </row>
    <row r="8" spans="1:1" x14ac:dyDescent="0.2">
      <c r="A8" s="17" t="s">
        <v>148</v>
      </c>
    </row>
    <row r="9" spans="1:1" x14ac:dyDescent="0.2">
      <c r="A9" s="1" t="s">
        <v>144</v>
      </c>
    </row>
    <row r="10" spans="1:1" x14ac:dyDescent="0.2">
      <c r="A10" s="1" t="s">
        <v>89</v>
      </c>
    </row>
    <row r="11" spans="1:1" x14ac:dyDescent="0.2">
      <c r="A11" s="1" t="s">
        <v>90</v>
      </c>
    </row>
    <row r="12" spans="1:1" x14ac:dyDescent="0.2">
      <c r="A12" s="1" t="s">
        <v>91</v>
      </c>
    </row>
    <row r="13" spans="1:1" x14ac:dyDescent="0.2">
      <c r="A13" s="1"/>
    </row>
    <row r="14" spans="1:1" x14ac:dyDescent="0.2">
      <c r="A14" s="17" t="s">
        <v>92</v>
      </c>
    </row>
    <row r="15" spans="1:1" x14ac:dyDescent="0.2">
      <c r="A15" s="1" t="s">
        <v>145</v>
      </c>
    </row>
    <row r="16" spans="1:1" x14ac:dyDescent="0.2">
      <c r="A16" s="1" t="s">
        <v>89</v>
      </c>
    </row>
    <row r="17" spans="1:1" x14ac:dyDescent="0.2">
      <c r="A17" s="1" t="s">
        <v>90</v>
      </c>
    </row>
    <row r="18" spans="1:1" x14ac:dyDescent="0.2">
      <c r="A18" s="1" t="s">
        <v>14</v>
      </c>
    </row>
    <row r="19" spans="1:1" x14ac:dyDescent="0.2">
      <c r="A19" s="1" t="s">
        <v>93</v>
      </c>
    </row>
    <row r="20" spans="1:1" x14ac:dyDescent="0.2">
      <c r="A20" s="1"/>
    </row>
    <row r="21" spans="1:1" x14ac:dyDescent="0.2">
      <c r="A21" s="17" t="s">
        <v>98</v>
      </c>
    </row>
    <row r="22" spans="1:1" x14ac:dyDescent="0.2">
      <c r="A22" s="1" t="s">
        <v>94</v>
      </c>
    </row>
    <row r="23" spans="1:1" x14ac:dyDescent="0.2">
      <c r="A23" s="1" t="s">
        <v>95</v>
      </c>
    </row>
    <row r="24" spans="1:1" x14ac:dyDescent="0.2">
      <c r="A24" s="1" t="s">
        <v>96</v>
      </c>
    </row>
    <row r="25" spans="1:1" x14ac:dyDescent="0.2">
      <c r="A25" s="1"/>
    </row>
    <row r="26" spans="1:1" x14ac:dyDescent="0.2">
      <c r="A26" s="17" t="s">
        <v>143</v>
      </c>
    </row>
    <row r="27" spans="1:1" x14ac:dyDescent="0.2">
      <c r="A27" s="16" t="s">
        <v>142</v>
      </c>
    </row>
    <row r="29" spans="1:1" x14ac:dyDescent="0.2">
      <c r="A29" s="7" t="s">
        <v>146</v>
      </c>
    </row>
  </sheetData>
  <hyperlinks>
    <hyperlink ref="A4" r:id="rId1" xr:uid="{00000000-0004-0000-0000-000000000000}"/>
    <hyperlink ref="A27" r:id="rId2" xr:uid="{00000000-0004-0000-0000-000001000000}"/>
  </hyperlinks>
  <pageMargins left="0.7" right="0.7" top="0.75" bottom="0.75" header="0.3" footer="0.3"/>
  <pageSetup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114"/>
  <sheetViews>
    <sheetView topLeftCell="A15" zoomScaleNormal="100" workbookViewId="0">
      <selection activeCell="B99" sqref="B99"/>
    </sheetView>
  </sheetViews>
  <sheetFormatPr baseColWidth="10" defaultColWidth="8.83203125" defaultRowHeight="15" x14ac:dyDescent="0.2"/>
  <cols>
    <col min="1" max="1" width="59" customWidth="1"/>
    <col min="2" max="3" width="11.5" bestFit="1" customWidth="1"/>
    <col min="4" max="4" width="11.6640625" bestFit="1" customWidth="1"/>
  </cols>
  <sheetData>
    <row r="1" spans="1:10" ht="60" customHeight="1" x14ac:dyDescent="0.2">
      <c r="A1" s="6" t="s">
        <v>0</v>
      </c>
      <c r="B1" s="4" t="s">
        <v>2</v>
      </c>
      <c r="C1" s="4"/>
      <c r="D1" s="4"/>
      <c r="E1" s="4"/>
      <c r="F1" s="4"/>
      <c r="G1" s="4"/>
      <c r="H1" s="4"/>
      <c r="I1" s="4"/>
      <c r="J1" s="4"/>
    </row>
    <row r="2" spans="1:10" x14ac:dyDescent="0.2">
      <c r="A2" s="33" t="s">
        <v>1</v>
      </c>
      <c r="B2" s="33"/>
      <c r="C2" s="33"/>
      <c r="D2" s="33"/>
    </row>
    <row r="3" spans="1:10" x14ac:dyDescent="0.2">
      <c r="B3" s="32" t="s">
        <v>23</v>
      </c>
      <c r="C3" s="32"/>
      <c r="D3" s="32"/>
    </row>
    <row r="4" spans="1:10" x14ac:dyDescent="0.2">
      <c r="B4" s="7">
        <v>2022</v>
      </c>
      <c r="C4" s="7">
        <v>2021</v>
      </c>
      <c r="D4" s="7">
        <v>2020</v>
      </c>
    </row>
    <row r="5" spans="1:10" x14ac:dyDescent="0.2">
      <c r="A5" t="s">
        <v>3</v>
      </c>
    </row>
    <row r="6" spans="1:10" x14ac:dyDescent="0.2">
      <c r="A6" s="1" t="s">
        <v>4</v>
      </c>
      <c r="B6" s="12">
        <v>316199</v>
      </c>
      <c r="C6" s="12">
        <v>297392</v>
      </c>
      <c r="D6" s="12">
        <v>220747</v>
      </c>
    </row>
    <row r="7" spans="1:10" x14ac:dyDescent="0.2">
      <c r="A7" s="1" t="s">
        <v>5</v>
      </c>
      <c r="B7" s="12">
        <v>78129</v>
      </c>
      <c r="C7" s="12">
        <v>68425</v>
      </c>
      <c r="D7" s="12">
        <v>53768</v>
      </c>
    </row>
    <row r="8" spans="1:10" x14ac:dyDescent="0.2">
      <c r="A8" s="8" t="s">
        <v>6</v>
      </c>
      <c r="B8" s="13">
        <f>+B6+B7</f>
        <v>394328</v>
      </c>
      <c r="C8" s="13">
        <f t="shared" ref="C8:D8" si="0">+C6+C7</f>
        <v>365817</v>
      </c>
      <c r="D8" s="13">
        <f t="shared" si="0"/>
        <v>274515</v>
      </c>
    </row>
    <row r="9" spans="1:10" x14ac:dyDescent="0.2">
      <c r="A9" t="s">
        <v>7</v>
      </c>
      <c r="B9" s="12"/>
      <c r="C9" s="12"/>
      <c r="D9" s="12"/>
    </row>
    <row r="10" spans="1:10" x14ac:dyDescent="0.2">
      <c r="A10" s="1" t="s">
        <v>4</v>
      </c>
      <c r="B10" s="12">
        <v>201471</v>
      </c>
      <c r="C10" s="12">
        <v>192266</v>
      </c>
      <c r="D10" s="12">
        <v>151286</v>
      </c>
    </row>
    <row r="11" spans="1:10" x14ac:dyDescent="0.2">
      <c r="A11" s="1" t="s">
        <v>5</v>
      </c>
      <c r="B11" s="12">
        <v>22075</v>
      </c>
      <c r="C11" s="12">
        <v>20715</v>
      </c>
      <c r="D11" s="12">
        <v>18273</v>
      </c>
    </row>
    <row r="12" spans="1:10" x14ac:dyDescent="0.2">
      <c r="A12" s="8" t="s">
        <v>8</v>
      </c>
      <c r="B12" s="13">
        <f>+B10+B11</f>
        <v>223546</v>
      </c>
      <c r="C12" s="13">
        <f t="shared" ref="C12:D12" si="1">+C10+C11</f>
        <v>212981</v>
      </c>
      <c r="D12" s="13">
        <f t="shared" si="1"/>
        <v>169559</v>
      </c>
    </row>
    <row r="13" spans="1:10" x14ac:dyDescent="0.2">
      <c r="A13" s="8" t="s">
        <v>9</v>
      </c>
      <c r="B13" s="13">
        <f>+B8-B12</f>
        <v>170782</v>
      </c>
      <c r="C13" s="13">
        <f t="shared" ref="C13:D13" si="2">+C8-C12</f>
        <v>152836</v>
      </c>
      <c r="D13" s="13">
        <f t="shared" si="2"/>
        <v>104956</v>
      </c>
    </row>
    <row r="14" spans="1:10" x14ac:dyDescent="0.2">
      <c r="A14" t="s">
        <v>10</v>
      </c>
      <c r="B14" s="12"/>
      <c r="C14" s="12"/>
      <c r="D14" s="12"/>
    </row>
    <row r="15" spans="1:10" x14ac:dyDescent="0.2">
      <c r="A15" s="1" t="s">
        <v>11</v>
      </c>
      <c r="B15" s="12">
        <v>26251</v>
      </c>
      <c r="C15" s="12">
        <v>21914</v>
      </c>
      <c r="D15" s="12">
        <v>18752</v>
      </c>
    </row>
    <row r="16" spans="1:10" x14ac:dyDescent="0.2">
      <c r="A16" s="1" t="s">
        <v>12</v>
      </c>
      <c r="B16" s="12">
        <v>25094</v>
      </c>
      <c r="C16" s="12">
        <v>21973</v>
      </c>
      <c r="D16" s="12">
        <v>19916</v>
      </c>
    </row>
    <row r="17" spans="1:4" x14ac:dyDescent="0.2">
      <c r="A17" s="8" t="s">
        <v>13</v>
      </c>
      <c r="B17" s="13">
        <f>+B15+B16</f>
        <v>51345</v>
      </c>
      <c r="C17" s="13">
        <f t="shared" ref="C17" si="3">+C15+C16</f>
        <v>43887</v>
      </c>
      <c r="D17" s="13">
        <f t="shared" ref="D17" si="4">+D15+D16</f>
        <v>38668</v>
      </c>
    </row>
    <row r="18" spans="1:4" s="21" customFormat="1" x14ac:dyDescent="0.2">
      <c r="A18" s="8" t="s">
        <v>14</v>
      </c>
      <c r="B18" s="13">
        <f>+B13-B17</f>
        <v>119437</v>
      </c>
      <c r="C18" s="13">
        <f t="shared" ref="C18:D18" si="5">+C13-C17</f>
        <v>108949</v>
      </c>
      <c r="D18" s="13">
        <f t="shared" si="5"/>
        <v>66288</v>
      </c>
    </row>
    <row r="19" spans="1:4" x14ac:dyDescent="0.2">
      <c r="A19" t="s">
        <v>15</v>
      </c>
      <c r="B19" s="12">
        <v>-334</v>
      </c>
      <c r="C19" s="12">
        <v>258</v>
      </c>
      <c r="D19" s="12">
        <v>803</v>
      </c>
    </row>
    <row r="20" spans="1:4" x14ac:dyDescent="0.2">
      <c r="A20" s="8" t="s">
        <v>16</v>
      </c>
      <c r="B20" s="13">
        <f>+B18+B19</f>
        <v>119103</v>
      </c>
      <c r="C20" s="13">
        <f t="shared" ref="C20:D20" si="6">+C18+C19</f>
        <v>109207</v>
      </c>
      <c r="D20" s="13">
        <f t="shared" si="6"/>
        <v>67091</v>
      </c>
    </row>
    <row r="21" spans="1:4" x14ac:dyDescent="0.2">
      <c r="A21" t="s">
        <v>17</v>
      </c>
      <c r="B21" s="12">
        <v>19300</v>
      </c>
      <c r="C21" s="12">
        <v>14527</v>
      </c>
      <c r="D21" s="12">
        <v>9680</v>
      </c>
    </row>
    <row r="22" spans="1:4" ht="16" thickBot="1" x14ac:dyDescent="0.25">
      <c r="A22" s="9" t="s">
        <v>18</v>
      </c>
      <c r="B22" s="14">
        <f>+B20-B21</f>
        <v>99803</v>
      </c>
      <c r="C22" s="14">
        <f t="shared" ref="C22:D22" si="7">+C20-C21</f>
        <v>94680</v>
      </c>
      <c r="D22" s="14">
        <f t="shared" si="7"/>
        <v>57411</v>
      </c>
    </row>
    <row r="23" spans="1:4" ht="16" thickTop="1" x14ac:dyDescent="0.2">
      <c r="A23" t="s">
        <v>19</v>
      </c>
    </row>
    <row r="24" spans="1:4" x14ac:dyDescent="0.2">
      <c r="A24" s="1" t="s">
        <v>20</v>
      </c>
      <c r="B24" s="10">
        <v>6.15</v>
      </c>
      <c r="C24" s="10">
        <v>5.67</v>
      </c>
      <c r="D24" s="10">
        <v>3.31</v>
      </c>
    </row>
    <row r="25" spans="1:4" x14ac:dyDescent="0.2">
      <c r="A25" s="1" t="s">
        <v>21</v>
      </c>
      <c r="B25" s="10">
        <v>6.11</v>
      </c>
      <c r="C25" s="10">
        <v>5.61</v>
      </c>
      <c r="D25" s="10">
        <v>3.28</v>
      </c>
    </row>
    <row r="26" spans="1:4" x14ac:dyDescent="0.2">
      <c r="A26" t="s">
        <v>22</v>
      </c>
    </row>
    <row r="27" spans="1:4" x14ac:dyDescent="0.2">
      <c r="A27" s="1" t="s">
        <v>20</v>
      </c>
      <c r="B27" s="2">
        <v>16215963</v>
      </c>
      <c r="C27" s="2">
        <v>16701272</v>
      </c>
      <c r="D27" s="2">
        <v>17352119</v>
      </c>
    </row>
    <row r="28" spans="1:4" x14ac:dyDescent="0.2">
      <c r="A28" s="1" t="s">
        <v>21</v>
      </c>
      <c r="B28" s="2">
        <v>16325819</v>
      </c>
      <c r="C28" s="2">
        <v>16864919</v>
      </c>
      <c r="D28" s="2">
        <v>17528214</v>
      </c>
    </row>
    <row r="31" spans="1:4" x14ac:dyDescent="0.2">
      <c r="A31" s="33" t="s">
        <v>24</v>
      </c>
      <c r="B31" s="33"/>
      <c r="C31" s="33"/>
      <c r="D31" s="33"/>
    </row>
    <row r="32" spans="1:4" x14ac:dyDescent="0.2">
      <c r="B32" s="32" t="s">
        <v>141</v>
      </c>
      <c r="C32" s="32"/>
      <c r="D32" s="32"/>
    </row>
    <row r="33" spans="1:4" x14ac:dyDescent="0.2">
      <c r="B33" s="7">
        <f>+B4</f>
        <v>2022</v>
      </c>
      <c r="C33" s="7">
        <f t="shared" ref="C33:D33" si="8">+C4</f>
        <v>2021</v>
      </c>
      <c r="D33" s="7">
        <f t="shared" si="8"/>
        <v>2020</v>
      </c>
    </row>
    <row r="35" spans="1:4" x14ac:dyDescent="0.2">
      <c r="A35" t="s">
        <v>25</v>
      </c>
    </row>
    <row r="36" spans="1:4" x14ac:dyDescent="0.2">
      <c r="A36" s="1" t="s">
        <v>26</v>
      </c>
      <c r="B36" s="12">
        <v>23646</v>
      </c>
      <c r="C36" s="12">
        <v>34940</v>
      </c>
      <c r="D36" s="12">
        <v>38016</v>
      </c>
    </row>
    <row r="37" spans="1:4" x14ac:dyDescent="0.2">
      <c r="A37" s="1" t="s">
        <v>27</v>
      </c>
      <c r="B37" s="12">
        <v>24658</v>
      </c>
      <c r="C37" s="12">
        <v>27699</v>
      </c>
      <c r="D37" s="12">
        <v>52927</v>
      </c>
    </row>
    <row r="38" spans="1:4" x14ac:dyDescent="0.2">
      <c r="A38" s="1" t="s">
        <v>28</v>
      </c>
      <c r="B38" s="12">
        <v>28184</v>
      </c>
      <c r="C38" s="12">
        <v>26278</v>
      </c>
      <c r="D38" s="12">
        <v>16120</v>
      </c>
    </row>
    <row r="39" spans="1:4" x14ac:dyDescent="0.2">
      <c r="A39" s="1" t="s">
        <v>29</v>
      </c>
      <c r="B39" s="12">
        <v>4946</v>
      </c>
      <c r="C39" s="12">
        <v>6580</v>
      </c>
      <c r="D39" s="12">
        <v>4061</v>
      </c>
    </row>
    <row r="40" spans="1:4" x14ac:dyDescent="0.2">
      <c r="A40" s="1" t="s">
        <v>47</v>
      </c>
      <c r="B40" s="12">
        <v>32748</v>
      </c>
      <c r="C40" s="12">
        <v>25228</v>
      </c>
      <c r="D40" s="12">
        <v>21325</v>
      </c>
    </row>
    <row r="41" spans="1:4" x14ac:dyDescent="0.2">
      <c r="A41" s="1" t="s">
        <v>30</v>
      </c>
      <c r="B41" s="12">
        <v>21223</v>
      </c>
      <c r="C41" s="12">
        <v>14111</v>
      </c>
      <c r="D41" s="12">
        <v>11264</v>
      </c>
    </row>
    <row r="42" spans="1:4" x14ac:dyDescent="0.2">
      <c r="A42" s="8" t="s">
        <v>31</v>
      </c>
      <c r="B42" s="13">
        <f>+SUM(B36:B41)</f>
        <v>135405</v>
      </c>
      <c r="C42" s="13">
        <f t="shared" ref="C42:D42" si="9">+SUM(C36:C41)</f>
        <v>134836</v>
      </c>
      <c r="D42" s="13">
        <f t="shared" si="9"/>
        <v>143713</v>
      </c>
    </row>
    <row r="43" spans="1:4" x14ac:dyDescent="0.2">
      <c r="A43" t="s">
        <v>48</v>
      </c>
      <c r="B43" s="12"/>
      <c r="C43" s="12"/>
      <c r="D43" s="12"/>
    </row>
    <row r="44" spans="1:4" x14ac:dyDescent="0.2">
      <c r="A44" s="1" t="s">
        <v>27</v>
      </c>
      <c r="B44" s="12">
        <v>120805</v>
      </c>
      <c r="C44" s="12">
        <v>127877</v>
      </c>
      <c r="D44" s="12">
        <v>100887</v>
      </c>
    </row>
    <row r="45" spans="1:4" x14ac:dyDescent="0.2">
      <c r="A45" s="1" t="s">
        <v>32</v>
      </c>
      <c r="B45" s="12">
        <v>42117</v>
      </c>
      <c r="C45" s="12">
        <v>39440</v>
      </c>
      <c r="D45" s="12">
        <v>36766</v>
      </c>
    </row>
    <row r="46" spans="1:4" x14ac:dyDescent="0.2">
      <c r="A46" s="1" t="s">
        <v>49</v>
      </c>
      <c r="B46" s="12">
        <v>54428</v>
      </c>
      <c r="C46" s="12">
        <v>48849</v>
      </c>
      <c r="D46" s="12">
        <v>42522</v>
      </c>
    </row>
    <row r="47" spans="1:4" x14ac:dyDescent="0.2">
      <c r="A47" s="8" t="s">
        <v>50</v>
      </c>
      <c r="B47" s="13">
        <f>+SUM(B44:B46)</f>
        <v>217350</v>
      </c>
      <c r="C47" s="13">
        <f t="shared" ref="C47:D47" si="10">+SUM(C44:C46)</f>
        <v>216166</v>
      </c>
      <c r="D47" s="13">
        <f t="shared" si="10"/>
        <v>180175</v>
      </c>
    </row>
    <row r="48" spans="1:4" ht="16" thickBot="1" x14ac:dyDescent="0.25">
      <c r="A48" s="9" t="s">
        <v>33</v>
      </c>
      <c r="B48" s="14">
        <f>+B42+B47</f>
        <v>352755</v>
      </c>
      <c r="C48" s="14">
        <f t="shared" ref="C48:D48" si="11">+C42+C47</f>
        <v>351002</v>
      </c>
      <c r="D48" s="14">
        <f t="shared" si="11"/>
        <v>323888</v>
      </c>
    </row>
    <row r="49" spans="1:4" ht="16" thickTop="1" x14ac:dyDescent="0.2"/>
    <row r="50" spans="1:4" x14ac:dyDescent="0.2">
      <c r="A50" t="s">
        <v>34</v>
      </c>
    </row>
    <row r="51" spans="1:4" x14ac:dyDescent="0.2">
      <c r="A51" s="1" t="s">
        <v>35</v>
      </c>
      <c r="B51" s="12">
        <v>64115</v>
      </c>
      <c r="C51" s="12">
        <v>54763</v>
      </c>
      <c r="D51" s="12">
        <v>42296</v>
      </c>
    </row>
    <row r="52" spans="1:4" x14ac:dyDescent="0.2">
      <c r="A52" s="1" t="s">
        <v>36</v>
      </c>
      <c r="B52" s="12">
        <v>60845</v>
      </c>
      <c r="C52" s="12">
        <v>47493</v>
      </c>
      <c r="D52" s="12">
        <v>42684</v>
      </c>
    </row>
    <row r="53" spans="1:4" x14ac:dyDescent="0.2">
      <c r="A53" s="1" t="s">
        <v>37</v>
      </c>
      <c r="B53" s="12">
        <v>7912</v>
      </c>
      <c r="C53" s="12">
        <v>7612</v>
      </c>
      <c r="D53" s="12">
        <v>6643</v>
      </c>
    </row>
    <row r="54" spans="1:4" x14ac:dyDescent="0.2">
      <c r="A54" s="1" t="s">
        <v>38</v>
      </c>
      <c r="B54" s="12">
        <v>9982</v>
      </c>
      <c r="C54" s="12">
        <v>6000</v>
      </c>
      <c r="D54" s="12">
        <v>4996</v>
      </c>
    </row>
    <row r="55" spans="1:4" x14ac:dyDescent="0.2">
      <c r="A55" s="1" t="s">
        <v>39</v>
      </c>
      <c r="B55" s="12">
        <v>11128</v>
      </c>
      <c r="C55" s="12">
        <v>9613</v>
      </c>
      <c r="D55" s="12">
        <v>8773</v>
      </c>
    </row>
    <row r="56" spans="1:4" x14ac:dyDescent="0.2">
      <c r="A56" s="8" t="s">
        <v>40</v>
      </c>
      <c r="B56" s="13">
        <f>+SUM(B51:B55)</f>
        <v>153982</v>
      </c>
      <c r="C56" s="13">
        <f t="shared" ref="C56:D56" si="12">+SUM(C51:C55)</f>
        <v>125481</v>
      </c>
      <c r="D56" s="13">
        <f t="shared" si="12"/>
        <v>105392</v>
      </c>
    </row>
    <row r="57" spans="1:4" x14ac:dyDescent="0.2">
      <c r="A57" t="s">
        <v>51</v>
      </c>
      <c r="B57" s="12"/>
      <c r="C57" s="12"/>
      <c r="D57" s="12"/>
    </row>
    <row r="58" spans="1:4" x14ac:dyDescent="0.2">
      <c r="A58" s="1" t="s">
        <v>37</v>
      </c>
      <c r="B58" s="12"/>
      <c r="C58" s="12"/>
      <c r="D58" s="12"/>
    </row>
    <row r="59" spans="1:4" x14ac:dyDescent="0.2">
      <c r="A59" s="1" t="s">
        <v>39</v>
      </c>
      <c r="B59" s="12">
        <v>98959</v>
      </c>
      <c r="C59" s="12">
        <v>109106</v>
      </c>
      <c r="D59" s="12">
        <v>98667</v>
      </c>
    </row>
    <row r="60" spans="1:4" x14ac:dyDescent="0.2">
      <c r="A60" s="1" t="s">
        <v>52</v>
      </c>
      <c r="B60" s="12">
        <v>49142</v>
      </c>
      <c r="C60" s="12">
        <v>53325</v>
      </c>
      <c r="D60" s="12">
        <v>54490</v>
      </c>
    </row>
    <row r="61" spans="1:4" x14ac:dyDescent="0.2">
      <c r="A61" s="23" t="s">
        <v>53</v>
      </c>
      <c r="B61" s="22">
        <f>+B59+B60</f>
        <v>148101</v>
      </c>
      <c r="C61" s="22">
        <f t="shared" ref="C61:D61" si="13">+C59+C60</f>
        <v>162431</v>
      </c>
      <c r="D61" s="22">
        <f t="shared" si="13"/>
        <v>153157</v>
      </c>
    </row>
    <row r="62" spans="1:4" x14ac:dyDescent="0.2">
      <c r="A62" s="8" t="s">
        <v>41</v>
      </c>
      <c r="B62" s="13">
        <f>+B56+B61</f>
        <v>302083</v>
      </c>
      <c r="C62" s="13">
        <f t="shared" ref="C62:D62" si="14">+C56+C61</f>
        <v>287912</v>
      </c>
      <c r="D62" s="13">
        <f t="shared" si="14"/>
        <v>258549</v>
      </c>
    </row>
    <row r="63" spans="1:4" x14ac:dyDescent="0.2">
      <c r="B63" s="12"/>
      <c r="C63" s="12"/>
      <c r="D63" s="12"/>
    </row>
    <row r="64" spans="1:4" x14ac:dyDescent="0.2">
      <c r="A64" t="s">
        <v>42</v>
      </c>
      <c r="B64" s="12"/>
      <c r="C64" s="12"/>
      <c r="D64" s="12"/>
    </row>
    <row r="65" spans="1:4" x14ac:dyDescent="0.2">
      <c r="A65" s="1" t="s">
        <v>54</v>
      </c>
      <c r="B65" s="12">
        <v>64849</v>
      </c>
      <c r="C65" s="12">
        <v>57365</v>
      </c>
      <c r="D65" s="12">
        <v>50779</v>
      </c>
    </row>
    <row r="66" spans="1:4" x14ac:dyDescent="0.2">
      <c r="A66" s="1" t="s">
        <v>43</v>
      </c>
      <c r="B66" s="12">
        <v>-3068</v>
      </c>
      <c r="C66" s="12">
        <v>5562</v>
      </c>
      <c r="D66" s="12">
        <v>14966</v>
      </c>
    </row>
    <row r="67" spans="1:4" x14ac:dyDescent="0.2">
      <c r="A67" s="1" t="s">
        <v>44</v>
      </c>
      <c r="B67" s="12">
        <v>-11109</v>
      </c>
      <c r="C67" s="12">
        <v>163</v>
      </c>
      <c r="D67" s="12">
        <v>-406</v>
      </c>
    </row>
    <row r="68" spans="1:4" x14ac:dyDescent="0.2">
      <c r="A68" s="8" t="s">
        <v>45</v>
      </c>
      <c r="B68" s="13">
        <f>+SUM(B65:B67)</f>
        <v>50672</v>
      </c>
      <c r="C68" s="13">
        <f t="shared" ref="C68:D68" si="15">+SUM(C65:C67)</f>
        <v>63090</v>
      </c>
      <c r="D68" s="13">
        <f t="shared" si="15"/>
        <v>65339</v>
      </c>
    </row>
    <row r="69" spans="1:4" ht="16" thickBot="1" x14ac:dyDescent="0.25">
      <c r="A69" s="9" t="s">
        <v>46</v>
      </c>
      <c r="B69" s="14">
        <f>+B68+B62</f>
        <v>352755</v>
      </c>
      <c r="C69" s="14">
        <f t="shared" ref="C69:D69" si="16">+C68+C62</f>
        <v>351002</v>
      </c>
      <c r="D69" s="14">
        <f t="shared" si="16"/>
        <v>323888</v>
      </c>
    </row>
    <row r="70" spans="1:4" ht="16" thickTop="1" x14ac:dyDescent="0.2"/>
    <row r="71" spans="1:4" x14ac:dyDescent="0.2">
      <c r="A71" s="33" t="s">
        <v>55</v>
      </c>
      <c r="B71" s="33"/>
      <c r="C71" s="33"/>
      <c r="D71" s="33"/>
    </row>
    <row r="72" spans="1:4" x14ac:dyDescent="0.2">
      <c r="B72" s="32" t="s">
        <v>23</v>
      </c>
      <c r="C72" s="32"/>
      <c r="D72" s="32"/>
    </row>
    <row r="73" spans="1:4" x14ac:dyDescent="0.2">
      <c r="B73" s="7">
        <f>+B33</f>
        <v>2022</v>
      </c>
      <c r="C73" s="7">
        <f t="shared" ref="C73:D73" si="17">+C33</f>
        <v>2021</v>
      </c>
      <c r="D73" s="7">
        <f t="shared" si="17"/>
        <v>2020</v>
      </c>
    </row>
    <row r="75" spans="1:4" x14ac:dyDescent="0.2">
      <c r="A75" s="7" t="s">
        <v>56</v>
      </c>
      <c r="B75" s="15"/>
      <c r="C75" s="15"/>
      <c r="D75" s="15"/>
    </row>
    <row r="76" spans="1:4" x14ac:dyDescent="0.2">
      <c r="A76" t="s">
        <v>57</v>
      </c>
      <c r="B76" s="12">
        <f>+B22</f>
        <v>99803</v>
      </c>
      <c r="C76" s="12">
        <f t="shared" ref="C76:D76" si="18">+C22</f>
        <v>94680</v>
      </c>
      <c r="D76" s="12">
        <f t="shared" si="18"/>
        <v>57411</v>
      </c>
    </row>
    <row r="77" spans="1:4" x14ac:dyDescent="0.2">
      <c r="A77" s="11" t="s">
        <v>18</v>
      </c>
      <c r="B77" s="15"/>
      <c r="C77" s="15"/>
      <c r="D77" s="15"/>
    </row>
    <row r="78" spans="1:4" x14ac:dyDescent="0.2">
      <c r="A78" s="1" t="s">
        <v>58</v>
      </c>
      <c r="B78" s="12"/>
      <c r="C78" s="12"/>
      <c r="D78" s="12"/>
    </row>
    <row r="79" spans="1:4" x14ac:dyDescent="0.2">
      <c r="A79" s="3" t="s">
        <v>59</v>
      </c>
      <c r="B79" s="12">
        <v>11104</v>
      </c>
      <c r="C79" s="12">
        <v>11284</v>
      </c>
      <c r="D79" s="12">
        <v>11056</v>
      </c>
    </row>
    <row r="80" spans="1:4" x14ac:dyDescent="0.2">
      <c r="A80" s="3" t="s">
        <v>83</v>
      </c>
      <c r="B80" s="12">
        <v>9038</v>
      </c>
      <c r="C80" s="12">
        <v>7906</v>
      </c>
      <c r="D80" s="12">
        <v>6829</v>
      </c>
    </row>
    <row r="81" spans="1:4" x14ac:dyDescent="0.2">
      <c r="A81" s="3" t="s">
        <v>60</v>
      </c>
      <c r="B81" s="12">
        <v>895</v>
      </c>
      <c r="C81" s="12">
        <v>-4774</v>
      </c>
      <c r="D81" s="12">
        <v>-215</v>
      </c>
    </row>
    <row r="82" spans="1:4" x14ac:dyDescent="0.2">
      <c r="A82" s="3" t="s">
        <v>61</v>
      </c>
      <c r="B82" s="12">
        <v>111</v>
      </c>
      <c r="C82" s="12">
        <v>-147</v>
      </c>
      <c r="D82" s="12">
        <v>-97</v>
      </c>
    </row>
    <row r="83" spans="1:4" x14ac:dyDescent="0.2">
      <c r="A83" t="s">
        <v>62</v>
      </c>
      <c r="B83" s="12"/>
      <c r="C83" s="12"/>
      <c r="D83" s="12"/>
    </row>
    <row r="84" spans="1:4" x14ac:dyDescent="0.2">
      <c r="A84" s="1" t="s">
        <v>28</v>
      </c>
      <c r="B84" s="12">
        <v>-1823</v>
      </c>
      <c r="C84" s="12">
        <v>-10125</v>
      </c>
      <c r="D84" s="12">
        <v>6917</v>
      </c>
    </row>
    <row r="85" spans="1:4" x14ac:dyDescent="0.2">
      <c r="A85" s="1" t="s">
        <v>29</v>
      </c>
      <c r="B85" s="12">
        <v>1484</v>
      </c>
      <c r="C85" s="12">
        <v>-2642</v>
      </c>
      <c r="D85" s="12">
        <v>-127</v>
      </c>
    </row>
    <row r="86" spans="1:4" x14ac:dyDescent="0.2">
      <c r="A86" s="1" t="s">
        <v>47</v>
      </c>
      <c r="B86" s="12">
        <v>-7520</v>
      </c>
      <c r="C86" s="12">
        <v>-3903</v>
      </c>
      <c r="D86" s="12">
        <v>1553</v>
      </c>
    </row>
    <row r="87" spans="1:4" x14ac:dyDescent="0.2">
      <c r="A87" s="1" t="s">
        <v>84</v>
      </c>
      <c r="B87" s="12">
        <v>-6499</v>
      </c>
      <c r="C87" s="12">
        <v>-8042</v>
      </c>
      <c r="D87" s="12">
        <v>-9588</v>
      </c>
    </row>
    <row r="88" spans="1:4" x14ac:dyDescent="0.2">
      <c r="A88" s="1" t="s">
        <v>35</v>
      </c>
      <c r="B88" s="12">
        <v>9448</v>
      </c>
      <c r="C88" s="12">
        <v>12326</v>
      </c>
      <c r="D88" s="12">
        <v>-4062</v>
      </c>
    </row>
    <row r="89" spans="1:4" x14ac:dyDescent="0.2">
      <c r="A89" s="1" t="s">
        <v>37</v>
      </c>
      <c r="B89" s="12">
        <v>478</v>
      </c>
      <c r="C89" s="12">
        <v>1676</v>
      </c>
      <c r="D89" s="12">
        <v>2081</v>
      </c>
    </row>
    <row r="90" spans="1:4" x14ac:dyDescent="0.2">
      <c r="A90" s="1" t="s">
        <v>85</v>
      </c>
      <c r="B90" s="12">
        <v>5632</v>
      </c>
      <c r="C90" s="12">
        <v>5799</v>
      </c>
      <c r="D90" s="12">
        <v>8916</v>
      </c>
    </row>
    <row r="91" spans="1:4" x14ac:dyDescent="0.2">
      <c r="A91" s="8" t="s">
        <v>63</v>
      </c>
      <c r="B91" s="13">
        <f>+SUM(B76:B90)</f>
        <v>122151</v>
      </c>
      <c r="C91" s="13">
        <f t="shared" ref="C91:D91" si="19">+SUM(C76:C90)</f>
        <v>104038</v>
      </c>
      <c r="D91" s="13">
        <f t="shared" si="19"/>
        <v>80674</v>
      </c>
    </row>
    <row r="92" spans="1:4" x14ac:dyDescent="0.2">
      <c r="A92" s="7" t="s">
        <v>64</v>
      </c>
      <c r="B92" s="12"/>
      <c r="C92" s="12"/>
      <c r="D92" s="12"/>
    </row>
    <row r="93" spans="1:4" x14ac:dyDescent="0.2">
      <c r="A93" s="1" t="s">
        <v>65</v>
      </c>
      <c r="B93" s="12">
        <v>-76923</v>
      </c>
      <c r="C93" s="12">
        <v>-109558</v>
      </c>
      <c r="D93" s="12">
        <v>-114938</v>
      </c>
    </row>
    <row r="94" spans="1:4" x14ac:dyDescent="0.2">
      <c r="A94" s="1" t="s">
        <v>66</v>
      </c>
      <c r="B94" s="12">
        <v>29917</v>
      </c>
      <c r="C94" s="12">
        <v>59023</v>
      </c>
      <c r="D94" s="12">
        <v>69918</v>
      </c>
    </row>
    <row r="95" spans="1:4" x14ac:dyDescent="0.2">
      <c r="A95" s="1" t="s">
        <v>67</v>
      </c>
      <c r="B95" s="12">
        <v>37446</v>
      </c>
      <c r="C95" s="12">
        <v>47460</v>
      </c>
      <c r="D95" s="12">
        <v>50473</v>
      </c>
    </row>
    <row r="96" spans="1:4" x14ac:dyDescent="0.2">
      <c r="A96" s="1" t="s">
        <v>68</v>
      </c>
      <c r="B96" s="12">
        <v>-10708</v>
      </c>
      <c r="C96" s="12">
        <v>-11085</v>
      </c>
      <c r="D96" s="12">
        <v>-7309</v>
      </c>
    </row>
    <row r="97" spans="1:4" x14ac:dyDescent="0.2">
      <c r="A97" s="1" t="s">
        <v>69</v>
      </c>
      <c r="B97" s="12">
        <v>-306</v>
      </c>
      <c r="C97" s="12">
        <v>-33</v>
      </c>
      <c r="D97" s="12">
        <v>-1524</v>
      </c>
    </row>
    <row r="98" spans="1:4" x14ac:dyDescent="0.2">
      <c r="A98" s="1" t="s">
        <v>61</v>
      </c>
      <c r="B98" s="12">
        <v>-1780</v>
      </c>
      <c r="C98" s="12">
        <v>-352</v>
      </c>
      <c r="D98" s="12">
        <v>-909</v>
      </c>
    </row>
    <row r="99" spans="1:4" x14ac:dyDescent="0.2">
      <c r="A99" s="8" t="s">
        <v>70</v>
      </c>
      <c r="B99" s="13">
        <f>+SUM(B93:B98)</f>
        <v>-22354</v>
      </c>
      <c r="C99" s="13">
        <f t="shared" ref="C99:D99" si="20">+SUM(C93:C98)</f>
        <v>-14545</v>
      </c>
      <c r="D99" s="13">
        <f t="shared" si="20"/>
        <v>-4289</v>
      </c>
    </row>
    <row r="100" spans="1:4" x14ac:dyDescent="0.2">
      <c r="A100" s="7" t="s">
        <v>71</v>
      </c>
      <c r="B100" s="12"/>
      <c r="C100" s="12"/>
      <c r="D100" s="12"/>
    </row>
    <row r="101" spans="1:4" x14ac:dyDescent="0.2">
      <c r="A101" s="1" t="s">
        <v>86</v>
      </c>
      <c r="B101" s="12">
        <v>-6223</v>
      </c>
      <c r="C101" s="12">
        <v>-6556</v>
      </c>
      <c r="D101" s="12">
        <v>-3634</v>
      </c>
    </row>
    <row r="102" spans="1:4" x14ac:dyDescent="0.2">
      <c r="A102" s="1" t="s">
        <v>72</v>
      </c>
      <c r="B102" s="12">
        <v>-14841</v>
      </c>
      <c r="C102" s="12">
        <v>-14467</v>
      </c>
      <c r="D102" s="12">
        <v>-14081</v>
      </c>
    </row>
    <row r="103" spans="1:4" x14ac:dyDescent="0.2">
      <c r="A103" s="1" t="s">
        <v>73</v>
      </c>
      <c r="B103" s="12">
        <v>-89402</v>
      </c>
      <c r="C103" s="12">
        <v>-85971</v>
      </c>
      <c r="D103" s="12">
        <v>-72358</v>
      </c>
    </row>
    <row r="104" spans="1:4" x14ac:dyDescent="0.2">
      <c r="A104" s="1" t="s">
        <v>74</v>
      </c>
      <c r="B104" s="12">
        <v>5465</v>
      </c>
      <c r="C104" s="12">
        <v>20393</v>
      </c>
      <c r="D104" s="12">
        <v>16091</v>
      </c>
    </row>
    <row r="105" spans="1:4" x14ac:dyDescent="0.2">
      <c r="A105" s="1" t="s">
        <v>75</v>
      </c>
      <c r="B105" s="12">
        <v>-9543</v>
      </c>
      <c r="C105" s="12">
        <v>-8750</v>
      </c>
      <c r="D105" s="12">
        <v>-12629</v>
      </c>
    </row>
    <row r="106" spans="1:4" x14ac:dyDescent="0.2">
      <c r="A106" s="1" t="s">
        <v>76</v>
      </c>
      <c r="B106" s="12">
        <v>3955</v>
      </c>
      <c r="C106" s="12">
        <v>1022</v>
      </c>
      <c r="D106" s="12">
        <v>-963</v>
      </c>
    </row>
    <row r="107" spans="1:4" x14ac:dyDescent="0.2">
      <c r="A107" s="1" t="s">
        <v>61</v>
      </c>
      <c r="B107" s="12">
        <v>-160</v>
      </c>
      <c r="C107" s="12">
        <v>976</v>
      </c>
      <c r="D107" s="12">
        <v>754</v>
      </c>
    </row>
    <row r="108" spans="1:4" x14ac:dyDescent="0.2">
      <c r="A108" s="8" t="s">
        <v>77</v>
      </c>
      <c r="B108" s="13">
        <f>+SUM(B101:B107)</f>
        <v>-110749</v>
      </c>
      <c r="C108" s="13">
        <f t="shared" ref="C108:D108" si="21">+SUM(C101:C107)</f>
        <v>-93353</v>
      </c>
      <c r="D108" s="13">
        <f t="shared" si="21"/>
        <v>-86820</v>
      </c>
    </row>
    <row r="109" spans="1:4" x14ac:dyDescent="0.2">
      <c r="A109" s="8" t="s">
        <v>78</v>
      </c>
      <c r="B109" s="13">
        <f>+B91+B99+B108</f>
        <v>-10952</v>
      </c>
      <c r="C109" s="13">
        <f t="shared" ref="C109:D109" si="22">+C91+C99+C108</f>
        <v>-3860</v>
      </c>
      <c r="D109" s="13">
        <f t="shared" si="22"/>
        <v>-10435</v>
      </c>
    </row>
    <row r="110" spans="1:4" ht="16" thickBot="1" x14ac:dyDescent="0.25">
      <c r="A110" s="9" t="s">
        <v>79</v>
      </c>
      <c r="B110" s="14">
        <v>24977</v>
      </c>
      <c r="C110" s="14">
        <v>35929</v>
      </c>
      <c r="D110" s="14">
        <v>39789</v>
      </c>
    </row>
    <row r="111" spans="1:4" ht="16" thickTop="1" x14ac:dyDescent="0.2">
      <c r="B111" s="12"/>
      <c r="C111" s="12"/>
      <c r="D111" s="12"/>
    </row>
    <row r="112" spans="1:4" x14ac:dyDescent="0.2">
      <c r="A112" t="s">
        <v>80</v>
      </c>
      <c r="B112" s="12"/>
      <c r="C112" s="12"/>
      <c r="D112" s="12"/>
    </row>
    <row r="113" spans="1:4" x14ac:dyDescent="0.2">
      <c r="A113" t="s">
        <v>81</v>
      </c>
      <c r="B113" s="12">
        <v>19573</v>
      </c>
      <c r="C113" s="12">
        <v>25385</v>
      </c>
      <c r="D113" s="12">
        <v>9501</v>
      </c>
    </row>
    <row r="114" spans="1:4" x14ac:dyDescent="0.2">
      <c r="A114" t="s">
        <v>82</v>
      </c>
      <c r="B114" s="12">
        <v>2865</v>
      </c>
      <c r="C114" s="12">
        <v>2687</v>
      </c>
      <c r="D114" s="12">
        <v>3002</v>
      </c>
    </row>
  </sheetData>
  <mergeCells count="6">
    <mergeCell ref="B3:D3"/>
    <mergeCell ref="B32:D32"/>
    <mergeCell ref="B72:D72"/>
    <mergeCell ref="A2:D2"/>
    <mergeCell ref="A31:D31"/>
    <mergeCell ref="A71:D7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135"/>
  <sheetViews>
    <sheetView tabSelected="1" topLeftCell="A109" workbookViewId="0">
      <selection activeCell="D54" sqref="D54"/>
    </sheetView>
  </sheetViews>
  <sheetFormatPr baseColWidth="10" defaultColWidth="8.83203125" defaultRowHeight="15" x14ac:dyDescent="0.2"/>
  <cols>
    <col min="1" max="1" width="4.6640625" customWidth="1"/>
    <col min="2" max="2" width="44.83203125" customWidth="1"/>
    <col min="3" max="5" width="13.6640625" bestFit="1" customWidth="1"/>
    <col min="6" max="6" width="41.1640625" customWidth="1"/>
  </cols>
  <sheetData>
    <row r="1" spans="1:18" ht="60" customHeight="1" x14ac:dyDescent="0.3">
      <c r="A1" s="6"/>
      <c r="B1" s="20" t="s">
        <v>0</v>
      </c>
      <c r="C1" s="19"/>
      <c r="D1" s="19"/>
      <c r="E1" s="19"/>
      <c r="F1" s="31" t="s">
        <v>234</v>
      </c>
      <c r="G1" s="19"/>
      <c r="H1" s="19"/>
      <c r="I1" s="19"/>
      <c r="J1" s="19"/>
      <c r="K1" s="19"/>
    </row>
    <row r="2" spans="1:18" x14ac:dyDescent="0.2">
      <c r="C2" s="32" t="s">
        <v>23</v>
      </c>
      <c r="D2" s="32"/>
      <c r="E2" s="32"/>
      <c r="F2" s="27"/>
    </row>
    <row r="3" spans="1:18" x14ac:dyDescent="0.2">
      <c r="C3" s="7">
        <f>+'Financial Statements'!B4</f>
        <v>2022</v>
      </c>
      <c r="D3" s="7">
        <f>+'Financial Statements'!C4</f>
        <v>2021</v>
      </c>
      <c r="E3" s="7">
        <f>+'Financial Statements'!D4</f>
        <v>2020</v>
      </c>
      <c r="F3" s="7"/>
    </row>
    <row r="4" spans="1:18" x14ac:dyDescent="0.2">
      <c r="A4" s="18">
        <v>1</v>
      </c>
      <c r="B4" s="7" t="s">
        <v>99</v>
      </c>
    </row>
    <row r="5" spans="1:18" x14ac:dyDescent="0.2">
      <c r="A5" s="18">
        <f>+A4+0.1</f>
        <v>1.1000000000000001</v>
      </c>
      <c r="B5" s="1" t="s">
        <v>100</v>
      </c>
      <c r="C5" s="28">
        <f>'Financial Statements'!B42/'Financial Statements'!B56</f>
        <v>0.87935602862672257</v>
      </c>
      <c r="D5" s="28">
        <f>'Financial Statements'!C42/'Financial Statements'!C56</f>
        <v>1.0745531195957954</v>
      </c>
      <c r="E5" s="28">
        <v>1.3640000000000001</v>
      </c>
      <c r="F5" s="18"/>
      <c r="G5" s="26">
        <f>+'Financial Statements'!B47/'Financial Statements'!B56</f>
        <v>1.4115286202283384</v>
      </c>
      <c r="I5" t="s">
        <v>197</v>
      </c>
    </row>
    <row r="6" spans="1:18" x14ac:dyDescent="0.2">
      <c r="A6" s="18">
        <f t="shared" ref="A6:A13" si="0">+A5+0.1</f>
        <v>1.2000000000000002</v>
      </c>
      <c r="B6" s="1" t="s">
        <v>101</v>
      </c>
      <c r="C6" s="28">
        <f>('Financial Statements'!B42-'Financial Statements'!B39)/'Financial Statements'!B56</f>
        <v>0.84723539114961488</v>
      </c>
      <c r="D6" s="28">
        <f>('Financial Statements'!C42-'Financial Statements'!C39)/'Financial Statements'!C56</f>
        <v>1.0221149018576519</v>
      </c>
      <c r="E6" s="28">
        <f>('Financial Statements'!D42-'Financial Statements'!D39)/'Financial Statements'!D56</f>
        <v>1.325072111735236</v>
      </c>
      <c r="F6" s="18"/>
      <c r="I6" t="s">
        <v>229</v>
      </c>
    </row>
    <row r="7" spans="1:18" x14ac:dyDescent="0.2">
      <c r="A7" s="18">
        <f t="shared" si="0"/>
        <v>1.3000000000000003</v>
      </c>
      <c r="B7" s="1" t="s">
        <v>102</v>
      </c>
      <c r="C7" s="28">
        <f>('Financial Statements'!B36+'Financial Statements'!B37)/'Financial Statements'!B56</f>
        <v>0.31369900377966253</v>
      </c>
      <c r="D7" s="28">
        <f>('Financial Statements'!C36+'Financial Statements'!C37)/'Financial Statements'!C56</f>
        <v>0.49919111259872012</v>
      </c>
      <c r="E7" s="28">
        <f>('Financial Statements'!D36+'Financial Statements'!D37)/'Financial Statements'!D56</f>
        <v>0.86290230757552755</v>
      </c>
      <c r="F7" s="18"/>
      <c r="I7" t="s">
        <v>230</v>
      </c>
    </row>
    <row r="8" spans="1:18" x14ac:dyDescent="0.2">
      <c r="A8" s="18">
        <f t="shared" si="0"/>
        <v>1.4000000000000004</v>
      </c>
      <c r="B8" s="1" t="s">
        <v>149</v>
      </c>
      <c r="C8" s="18">
        <f>'Financial Statements'!B42/(('Financial Statements'!B17-'Financial Statements'!B79)/365)</f>
        <v>1228.1708953554833</v>
      </c>
      <c r="D8" s="18">
        <f>'Financial Statements'!C42/(('Financial Statements'!C17-'Financial Statements'!C79)/365)</f>
        <v>1509.5279575499187</v>
      </c>
      <c r="E8" s="18">
        <f>'Financial Statements'!D42/(('Financial Statements'!D17-'Financial Statements'!D79)/365)</f>
        <v>1899.7263870780819</v>
      </c>
      <c r="F8" t="s">
        <v>235</v>
      </c>
      <c r="I8" t="s">
        <v>198</v>
      </c>
      <c r="R8" t="s">
        <v>231</v>
      </c>
    </row>
    <row r="9" spans="1:18" x14ac:dyDescent="0.2">
      <c r="A9" s="18">
        <f t="shared" si="0"/>
        <v>1.5000000000000004</v>
      </c>
      <c r="B9" s="1" t="s">
        <v>103</v>
      </c>
      <c r="C9" s="18">
        <f>('Financial Statements'!B39/'Financial Statements'!B10)*365</f>
        <v>8.96054519012662</v>
      </c>
      <c r="D9" s="18">
        <f>('Financial Statements'!C39/'Financial Statements'!C10)*365</f>
        <v>12.491548167642746</v>
      </c>
      <c r="E9" s="18">
        <f>('Financial Statements'!D39/'Financial Statements'!D10)*365</f>
        <v>9.797767143027114</v>
      </c>
      <c r="F9" s="18"/>
      <c r="I9" t="s">
        <v>150</v>
      </c>
      <c r="R9" t="s">
        <v>199</v>
      </c>
    </row>
    <row r="10" spans="1:18" x14ac:dyDescent="0.2">
      <c r="A10" s="18">
        <f t="shared" si="0"/>
        <v>1.6000000000000005</v>
      </c>
      <c r="B10" s="1" t="s">
        <v>104</v>
      </c>
      <c r="C10" s="18">
        <f>('Financial Statements'!B51*365)/'Financial Statements'!B12</f>
        <v>104.68527730310539</v>
      </c>
      <c r="D10" s="18">
        <f>('Financial Statements'!C51*365)/'Financial Statements'!C12</f>
        <v>93.85107122231561</v>
      </c>
      <c r="E10" s="18">
        <f>('Financial Statements'!D51*365)/'Financial Statements'!D12</f>
        <v>91.048189715674184</v>
      </c>
      <c r="F10" s="18"/>
      <c r="I10" t="s">
        <v>200</v>
      </c>
    </row>
    <row r="11" spans="1:18" x14ac:dyDescent="0.2">
      <c r="A11" s="18">
        <f t="shared" si="0"/>
        <v>1.7000000000000006</v>
      </c>
      <c r="B11" s="1" t="s">
        <v>105</v>
      </c>
      <c r="C11" s="18">
        <f>('Financial Statements'!B38*365)/'Financial Statements'!B8</f>
        <v>26.087825363656652</v>
      </c>
      <c r="D11" s="18">
        <f>('Financial Statements'!C38*365)/'Financial Statements'!C8</f>
        <v>26.219311841713207</v>
      </c>
      <c r="E11" s="18">
        <f>('Financial Statements'!D38*365)/'Financial Statements'!D8</f>
        <v>21.433437152796749</v>
      </c>
      <c r="F11" s="18"/>
      <c r="I11" t="s">
        <v>201</v>
      </c>
    </row>
    <row r="12" spans="1:18" x14ac:dyDescent="0.2">
      <c r="A12" s="18">
        <f t="shared" si="0"/>
        <v>1.8000000000000007</v>
      </c>
      <c r="B12" s="1" t="s">
        <v>106</v>
      </c>
      <c r="C12" s="18">
        <f>C9+C11-C10</f>
        <v>-69.636906749322122</v>
      </c>
      <c r="D12" s="18">
        <f>D9+D11-D10</f>
        <v>-55.140211212959656</v>
      </c>
      <c r="E12" s="18">
        <f>E9+E11-E10</f>
        <v>-59.816985419850319</v>
      </c>
      <c r="F12" s="18"/>
      <c r="I12" t="s">
        <v>202</v>
      </c>
    </row>
    <row r="13" spans="1:18" x14ac:dyDescent="0.2">
      <c r="A13" s="18">
        <f t="shared" si="0"/>
        <v>1.9000000000000008</v>
      </c>
      <c r="B13" s="1" t="s">
        <v>107</v>
      </c>
      <c r="C13" s="25">
        <f>('List of Ratios'!C14/'Financial Statements'!B8)</f>
        <v>-4.711052727678481E-2</v>
      </c>
      <c r="D13" s="25">
        <f>('List of Ratios'!D14/'Financial Statements'!C8)</f>
        <v>2.557289573748623E-2</v>
      </c>
      <c r="E13" s="25">
        <f>('List of Ratios'!E14/'Financial Statements'!D8)</f>
        <v>0.13959528623208203</v>
      </c>
      <c r="F13" s="25"/>
      <c r="I13" t="s">
        <v>203</v>
      </c>
    </row>
    <row r="14" spans="1:18" x14ac:dyDescent="0.2">
      <c r="A14" s="18"/>
      <c r="B14" s="3" t="s">
        <v>108</v>
      </c>
      <c r="C14">
        <f>'Financial Statements'!B42-'Financial Statements'!B56</f>
        <v>-18577</v>
      </c>
      <c r="D14">
        <f>'Financial Statements'!C42-'Financial Statements'!C56</f>
        <v>9355</v>
      </c>
      <c r="E14">
        <f>'Financial Statements'!D42-'Financial Statements'!D56</f>
        <v>38321</v>
      </c>
      <c r="I14" t="s">
        <v>204</v>
      </c>
    </row>
    <row r="15" spans="1:18" x14ac:dyDescent="0.2">
      <c r="A15" s="18"/>
    </row>
    <row r="16" spans="1:18" x14ac:dyDescent="0.2">
      <c r="A16" s="18">
        <f>+A4+1</f>
        <v>2</v>
      </c>
      <c r="B16" s="17" t="s">
        <v>109</v>
      </c>
    </row>
    <row r="17" spans="1:18" x14ac:dyDescent="0.2">
      <c r="A17" s="18">
        <f>+A16+0.1</f>
        <v>2.1</v>
      </c>
      <c r="B17" s="1" t="s">
        <v>9</v>
      </c>
      <c r="C17" s="25">
        <f>'Financial Statements'!B13/'Financial Statements'!B8</f>
        <v>0.43309630561360085</v>
      </c>
      <c r="D17" s="25">
        <f>'Financial Statements'!C13/'Financial Statements'!C8</f>
        <v>0.41779359625167778</v>
      </c>
      <c r="E17" s="25">
        <f>'Financial Statements'!D13/'Financial Statements'!D8</f>
        <v>0.38233247727810865</v>
      </c>
      <c r="F17" s="25"/>
      <c r="I17" t="s">
        <v>205</v>
      </c>
    </row>
    <row r="18" spans="1:18" x14ac:dyDescent="0.2">
      <c r="A18" s="18">
        <f>+A17+0.1</f>
        <v>2.2000000000000002</v>
      </c>
      <c r="B18" s="1" t="s">
        <v>110</v>
      </c>
      <c r="C18" s="25">
        <f>('Financial Statements'!B18+'Financial Statements'!B79)/'Financial Statements'!B8</f>
        <v>0.3310467428130896</v>
      </c>
      <c r="D18" s="25">
        <f>('Financial Statements'!C18+'Financial Statements'!C79)/'Financial Statements'!C8</f>
        <v>0.32866979938056462</v>
      </c>
      <c r="E18" s="25">
        <f>('Financial Statements'!D18+'Financial Statements'!D79)/'Financial Statements'!D8</f>
        <v>0.2817478097736007</v>
      </c>
      <c r="F18" s="25"/>
      <c r="I18" t="s">
        <v>206</v>
      </c>
    </row>
    <row r="19" spans="1:18" x14ac:dyDescent="0.2">
      <c r="A19" s="18"/>
      <c r="B19" s="3" t="s">
        <v>111</v>
      </c>
      <c r="C19" s="2">
        <f>'Financial Statements'!B18+'Financial Statements'!B79</f>
        <v>130541</v>
      </c>
      <c r="D19" s="2">
        <f>'Financial Statements'!C18+'Financial Statements'!C79</f>
        <v>120233</v>
      </c>
      <c r="E19" s="2">
        <f>'Financial Statements'!D18+'Financial Statements'!D79</f>
        <v>77344</v>
      </c>
      <c r="F19" s="2"/>
      <c r="I19" t="s">
        <v>207</v>
      </c>
    </row>
    <row r="20" spans="1:18" x14ac:dyDescent="0.2">
      <c r="A20" s="18">
        <f>+A18+0.1</f>
        <v>2.3000000000000003</v>
      </c>
      <c r="B20" s="1" t="s">
        <v>112</v>
      </c>
      <c r="C20" s="25">
        <f>C21/'Financial Statements'!B8</f>
        <v>0.30288744395528594</v>
      </c>
      <c r="D20" s="25">
        <f>D21/'Financial Statements'!C8</f>
        <v>0.29782377527561593</v>
      </c>
      <c r="E20" s="25">
        <f>E21/'Financial Statements'!D8</f>
        <v>0.24147314354406862</v>
      </c>
      <c r="F20" s="25"/>
      <c r="I20" t="s">
        <v>208</v>
      </c>
    </row>
    <row r="21" spans="1:18" x14ac:dyDescent="0.2">
      <c r="A21" s="18"/>
      <c r="B21" s="3" t="s">
        <v>113</v>
      </c>
      <c r="C21" s="2">
        <f>'Financial Statements'!B18</f>
        <v>119437</v>
      </c>
      <c r="D21" s="2">
        <f>'Financial Statements'!C18</f>
        <v>108949</v>
      </c>
      <c r="E21" s="2">
        <f>'Financial Statements'!D18</f>
        <v>66288</v>
      </c>
      <c r="F21" s="2"/>
      <c r="I21" t="s">
        <v>209</v>
      </c>
    </row>
    <row r="22" spans="1:18" x14ac:dyDescent="0.2">
      <c r="A22" s="18">
        <f>+A20+0.1</f>
        <v>2.4000000000000004</v>
      </c>
      <c r="B22" s="1" t="s">
        <v>114</v>
      </c>
      <c r="C22" s="25">
        <f>'Financial Statements'!B22/'Financial Statements'!B8</f>
        <v>0.25309640705199732</v>
      </c>
      <c r="D22" s="25">
        <f>'Financial Statements'!C22/'Financial Statements'!C8</f>
        <v>0.25881793355694238</v>
      </c>
      <c r="E22" s="25">
        <f>'Financial Statements'!D22/'Financial Statements'!D8</f>
        <v>0.20913611278072236</v>
      </c>
      <c r="F22" s="25"/>
      <c r="I22" t="s">
        <v>210</v>
      </c>
    </row>
    <row r="23" spans="1:18" x14ac:dyDescent="0.2">
      <c r="A23" s="18"/>
    </row>
    <row r="24" spans="1:18" x14ac:dyDescent="0.2">
      <c r="A24" s="18">
        <f>+A16+1</f>
        <v>3</v>
      </c>
      <c r="B24" s="7" t="s">
        <v>115</v>
      </c>
    </row>
    <row r="25" spans="1:18" x14ac:dyDescent="0.2">
      <c r="A25" s="18">
        <f>+A24+0.1</f>
        <v>3.1</v>
      </c>
      <c r="B25" s="1" t="s">
        <v>116</v>
      </c>
      <c r="C25" s="28">
        <f>'Financial Statements'!B59/'Financial Statements'!B68</f>
        <v>1.9529325860435744</v>
      </c>
      <c r="D25" s="28">
        <f>'Financial Statements'!C59/'Financial Statements'!C68</f>
        <v>1.729370740212395</v>
      </c>
      <c r="E25" s="28">
        <f>'Financial Statements'!D59/'Financial Statements'!D68</f>
        <v>1.5100782075024104</v>
      </c>
      <c r="F25" t="s">
        <v>236</v>
      </c>
      <c r="I25" t="s">
        <v>211</v>
      </c>
    </row>
    <row r="26" spans="1:18" x14ac:dyDescent="0.2">
      <c r="A26" s="18">
        <f t="shared" ref="A26:A30" si="1">+A25+0.1</f>
        <v>3.2</v>
      </c>
      <c r="B26" s="1" t="s">
        <v>117</v>
      </c>
      <c r="C26" s="28">
        <f>(('Financial Statements'!B59+'Financial Statements'!B60)/'Financial Statements'!B48)</f>
        <v>0.41984096610962285</v>
      </c>
      <c r="D26" s="28">
        <f>(('Financial Statements'!C59+'Financial Statements'!C60)/'Financial Statements'!C48)</f>
        <v>0.46276374493592631</v>
      </c>
      <c r="E26" s="28">
        <f>(('Financial Statements'!D59+'Financial Statements'!D60)/'Financial Statements'!D48)</f>
        <v>0.47287025144494393</v>
      </c>
      <c r="F26" t="s">
        <v>237</v>
      </c>
      <c r="I26" t="s">
        <v>247</v>
      </c>
    </row>
    <row r="27" spans="1:18" x14ac:dyDescent="0.2">
      <c r="A27" s="18">
        <f t="shared" si="1"/>
        <v>3.3000000000000003</v>
      </c>
      <c r="B27" s="1" t="s">
        <v>118</v>
      </c>
      <c r="C27" s="28">
        <f>'Financial Statements'!B59/('Financial Statements'!B59+'Financial Statements'!B68)</f>
        <v>0.66135359651409131</v>
      </c>
      <c r="D27" s="28">
        <f>'Financial Statements'!C59/('Financial Statements'!C59+'Financial Statements'!C68)</f>
        <v>0.63361518269878514</v>
      </c>
      <c r="E27" s="28">
        <f>'Financial Statements'!D59/('Financial Statements'!D59+'Financial Statements'!D68)</f>
        <v>0.60160603880345842</v>
      </c>
      <c r="F27" t="s">
        <v>238</v>
      </c>
      <c r="I27" t="s">
        <v>212</v>
      </c>
    </row>
    <row r="28" spans="1:18" x14ac:dyDescent="0.2">
      <c r="A28" s="18">
        <f t="shared" si="1"/>
        <v>3.4000000000000004</v>
      </c>
      <c r="B28" s="1" t="s">
        <v>119</v>
      </c>
      <c r="C28" s="28">
        <f>'Financial Statements'!B18/'Financial Statements'!B114</f>
        <v>41.68830715532286</v>
      </c>
      <c r="D28" s="28">
        <f>'Financial Statements'!C18/'Financial Statements'!C114</f>
        <v>40.546706363974693</v>
      </c>
      <c r="E28" s="28">
        <f>'Financial Statements'!D18/'Financial Statements'!D114</f>
        <v>22.081279147235175</v>
      </c>
      <c r="I28" t="s">
        <v>213</v>
      </c>
    </row>
    <row r="29" spans="1:18" x14ac:dyDescent="0.2">
      <c r="A29" s="18">
        <f t="shared" si="1"/>
        <v>3.5000000000000004</v>
      </c>
      <c r="B29" s="1" t="s">
        <v>120</v>
      </c>
      <c r="C29" s="28">
        <f>'Financial Statements'!B20/('Financial Statements'!B114-'Financial Statements'!B105)</f>
        <v>9.5988878143133469</v>
      </c>
      <c r="D29" s="28">
        <f>'Financial Statements'!C20/('Financial Statements'!C114-'Financial Statements'!C105)</f>
        <v>9.5485704293083842</v>
      </c>
      <c r="E29" s="28">
        <f>'Financial Statements'!D20/('Financial Statements'!D114-'Financial Statements'!D105)</f>
        <v>4.2921758044910758</v>
      </c>
      <c r="F29" t="s">
        <v>239</v>
      </c>
      <c r="H29" s="34" t="s">
        <v>248</v>
      </c>
      <c r="I29" s="34"/>
      <c r="J29" s="34"/>
      <c r="K29" s="34"/>
      <c r="L29" s="34"/>
      <c r="M29" s="34"/>
      <c r="N29" s="34"/>
      <c r="O29" s="34"/>
      <c r="P29" s="34"/>
      <c r="Q29" s="34"/>
      <c r="R29" s="34"/>
    </row>
    <row r="30" spans="1:18" x14ac:dyDescent="0.2">
      <c r="A30" s="18">
        <f t="shared" si="1"/>
        <v>3.6000000000000005</v>
      </c>
      <c r="B30" s="1" t="s">
        <v>121</v>
      </c>
      <c r="C30" s="28">
        <f>C31/('Financial Statements'!B27/1000)</f>
        <v>5.8172308360595055</v>
      </c>
      <c r="D30" s="28">
        <f>D31/('Financial Statements'!C27/1000)</f>
        <v>4.1374094140853463</v>
      </c>
      <c r="E30" s="28">
        <f>E31/('Financial Statements'!D27/1000)</f>
        <v>3.4747341232503075</v>
      </c>
      <c r="F30" t="s">
        <v>241</v>
      </c>
      <c r="H30" t="s">
        <v>214</v>
      </c>
    </row>
    <row r="31" spans="1:18" x14ac:dyDescent="0.2">
      <c r="A31" s="18"/>
      <c r="B31" s="3" t="s">
        <v>122</v>
      </c>
      <c r="C31">
        <f>'Financial Statements'!B91+'Financial Statements'!B99-'Financial Statements'!B104</f>
        <v>94332</v>
      </c>
      <c r="D31">
        <f>'Financial Statements'!C91+'Financial Statements'!C99-'Financial Statements'!C104</f>
        <v>69100</v>
      </c>
      <c r="E31">
        <f>'Financial Statements'!D91+'Financial Statements'!D99-'Financial Statements'!D104</f>
        <v>60294</v>
      </c>
      <c r="F31" t="s">
        <v>240</v>
      </c>
      <c r="H31" t="s">
        <v>151</v>
      </c>
    </row>
    <row r="32" spans="1:18" x14ac:dyDescent="0.2">
      <c r="A32" s="18"/>
    </row>
    <row r="33" spans="1:15" x14ac:dyDescent="0.2">
      <c r="A33" s="18">
        <f>+A24+1</f>
        <v>4</v>
      </c>
      <c r="B33" s="17" t="s">
        <v>123</v>
      </c>
    </row>
    <row r="34" spans="1:15" x14ac:dyDescent="0.2">
      <c r="A34" s="18">
        <f>+A33+0.1</f>
        <v>4.0999999999999996</v>
      </c>
      <c r="B34" s="1" t="s">
        <v>124</v>
      </c>
      <c r="C34" s="28">
        <f>'Financial Statements'!B8/'Financial Statements'!B48</f>
        <v>1.1178523337727317</v>
      </c>
      <c r="D34" s="28">
        <f>'Financial Statements'!C8/'Financial Statements'!C48</f>
        <v>1.0422077367080529</v>
      </c>
      <c r="E34" s="28">
        <f>'Financial Statements'!D8/'Financial Statements'!D48</f>
        <v>0.84756150274168851</v>
      </c>
      <c r="H34" t="s">
        <v>215</v>
      </c>
    </row>
    <row r="35" spans="1:15" x14ac:dyDescent="0.2">
      <c r="A35" s="18">
        <f t="shared" ref="A35:A37" si="2">+A34+0.1</f>
        <v>4.1999999999999993</v>
      </c>
      <c r="B35" s="1" t="s">
        <v>125</v>
      </c>
      <c r="C35" s="28">
        <f>'Financial Statements'!B8/'Financial Statements'!B47</f>
        <v>1.8142535081665516</v>
      </c>
      <c r="D35" s="28">
        <f>'Financial Statements'!C8/'Financial Statements'!C47</f>
        <v>1.6922966608994938</v>
      </c>
      <c r="E35" s="28">
        <f>'Financial Statements'!D8/'Financial Statements'!D47</f>
        <v>1.5236020535590398</v>
      </c>
      <c r="H35" t="s">
        <v>216</v>
      </c>
    </row>
    <row r="36" spans="1:15" x14ac:dyDescent="0.2">
      <c r="A36" s="18">
        <f t="shared" si="2"/>
        <v>4.2999999999999989</v>
      </c>
      <c r="B36" s="1" t="s">
        <v>126</v>
      </c>
      <c r="C36" s="28">
        <f>'Financial Statements'!B10/'Financial Statements'!B39</f>
        <v>40.734128588758594</v>
      </c>
      <c r="D36" s="28">
        <f>'Financial Statements'!C10/'Financial Statements'!C39</f>
        <v>29.219756838905774</v>
      </c>
      <c r="E36" s="28">
        <f>'Financial Statements'!D10/'Financial Statements'!D39</f>
        <v>37.253385865550356</v>
      </c>
      <c r="H36" t="s">
        <v>233</v>
      </c>
    </row>
    <row r="37" spans="1:15" x14ac:dyDescent="0.2">
      <c r="A37" s="18">
        <f t="shared" si="2"/>
        <v>4.3999999999999986</v>
      </c>
      <c r="B37" s="1" t="s">
        <v>127</v>
      </c>
      <c r="C37" s="28">
        <f>'Financial Statements'!B22/'Financial Statements'!B48</f>
        <v>0.28292440929256851</v>
      </c>
      <c r="D37" s="28">
        <f>'Financial Statements'!C22/'Financial Statements'!C48</f>
        <v>0.26974205275183616</v>
      </c>
      <c r="E37" s="28">
        <f>'Financial Statements'!D22/'Financial Statements'!D48</f>
        <v>0.1772557180259843</v>
      </c>
      <c r="H37" t="s">
        <v>232</v>
      </c>
    </row>
    <row r="38" spans="1:15" x14ac:dyDescent="0.2">
      <c r="A38" s="18"/>
    </row>
    <row r="39" spans="1:15" x14ac:dyDescent="0.2">
      <c r="A39" s="18">
        <f>+A33+1</f>
        <v>5</v>
      </c>
      <c r="B39" s="17" t="s">
        <v>128</v>
      </c>
    </row>
    <row r="40" spans="1:15" x14ac:dyDescent="0.2">
      <c r="A40" s="18">
        <f>+A39+0.1</f>
        <v>5.0999999999999996</v>
      </c>
      <c r="B40" s="1" t="s">
        <v>129</v>
      </c>
      <c r="C40">
        <f>137.8215/'Financial Statements'!B24</f>
        <v>22.409999999999997</v>
      </c>
      <c r="D40">
        <f>141.01129/'Financial Statements'!C24</f>
        <v>24.869716049382717</v>
      </c>
      <c r="E40">
        <f>113.7647/'Financial Statements'!D24</f>
        <v>34.369999999999997</v>
      </c>
      <c r="H40" t="s">
        <v>217</v>
      </c>
    </row>
    <row r="41" spans="1:15" x14ac:dyDescent="0.2">
      <c r="A41" s="18">
        <f t="shared" ref="A41:A44" si="3">+A40+0.1</f>
        <v>5.1999999999999993</v>
      </c>
      <c r="B41" s="3" t="s">
        <v>130</v>
      </c>
      <c r="C41" s="35">
        <f>'Financial Statements'!B25</f>
        <v>6.11</v>
      </c>
      <c r="D41" s="35">
        <f>'Financial Statements'!C25</f>
        <v>5.61</v>
      </c>
      <c r="E41" s="35">
        <f>'Financial Statements'!D25</f>
        <v>3.28</v>
      </c>
      <c r="F41" t="s">
        <v>242</v>
      </c>
      <c r="H41" s="34" t="s">
        <v>249</v>
      </c>
      <c r="I41" s="34"/>
      <c r="J41" s="34"/>
      <c r="K41" s="34"/>
      <c r="L41" s="34"/>
      <c r="M41" s="34"/>
      <c r="N41" s="34"/>
      <c r="O41" s="34"/>
    </row>
    <row r="42" spans="1:15" x14ac:dyDescent="0.2">
      <c r="A42" s="18">
        <f t="shared" si="3"/>
        <v>5.2999999999999989</v>
      </c>
      <c r="B42" s="1" t="s">
        <v>131</v>
      </c>
      <c r="C42">
        <f>137.8215/C43</f>
        <v>44.404185019507807</v>
      </c>
      <c r="D42">
        <f>141.0129/D43</f>
        <v>37.694898342924397</v>
      </c>
      <c r="E42">
        <f>113.7647/E43</f>
        <v>30.519169366623302</v>
      </c>
      <c r="H42" t="s">
        <v>218</v>
      </c>
    </row>
    <row r="43" spans="1:15" ht="80" x14ac:dyDescent="0.2">
      <c r="A43" s="18">
        <f t="shared" si="3"/>
        <v>5.3999999999999986</v>
      </c>
      <c r="B43" s="3" t="s">
        <v>132</v>
      </c>
      <c r="C43">
        <f>('Financial Statements'!B68/('Financial Statements'!B28/1000))</f>
        <v>3.1037952827971451</v>
      </c>
      <c r="D43">
        <f>('Financial Statements'!C68/('Financial Statements'!C28/1000))</f>
        <v>3.740901453484597</v>
      </c>
      <c r="E43">
        <f>('Financial Statements'!D68/('Financial Statements'!D28/1000))</f>
        <v>3.7276473233382479</v>
      </c>
      <c r="F43" s="29" t="s">
        <v>243</v>
      </c>
      <c r="H43" t="s">
        <v>219</v>
      </c>
      <c r="M43" t="s">
        <v>220</v>
      </c>
    </row>
    <row r="44" spans="1:15" x14ac:dyDescent="0.2">
      <c r="A44" s="18">
        <f t="shared" si="3"/>
        <v>5.4999999999999982</v>
      </c>
      <c r="B44" s="1" t="s">
        <v>133</v>
      </c>
      <c r="C44">
        <f>-'Financial Statements'!B102/'Financial Statements'!B22</f>
        <v>0.14870294480125848</v>
      </c>
      <c r="D44">
        <f>-'Financial Statements'!C102/'Financial Statements'!C22</f>
        <v>0.15279890156316012</v>
      </c>
      <c r="E44">
        <f>-'Financial Statements'!D102/'Financial Statements'!D22</f>
        <v>0.24526658654264863</v>
      </c>
      <c r="H44" t="s">
        <v>221</v>
      </c>
    </row>
    <row r="45" spans="1:15" ht="80" x14ac:dyDescent="0.2">
      <c r="A45" s="18"/>
      <c r="B45" s="3" t="s">
        <v>134</v>
      </c>
      <c r="C45">
        <f>-'Financial Statements'!B102/('Financial Statements'!B28/1000)</f>
        <v>0.90905087211857494</v>
      </c>
      <c r="D45">
        <f>-'Financial Statements'!C102/('Financial Statements'!C28/1000)</f>
        <v>0.85781615672153533</v>
      </c>
      <c r="E45">
        <f>-'Financial Statements'!D102/('Financial Statements'!D28/1000)</f>
        <v>0.80333341434558025</v>
      </c>
      <c r="F45" s="29" t="s">
        <v>243</v>
      </c>
      <c r="H45" t="s">
        <v>222</v>
      </c>
    </row>
    <row r="46" spans="1:15" x14ac:dyDescent="0.2">
      <c r="A46" s="18">
        <f>+A44+0.1</f>
        <v>5.5999999999999979</v>
      </c>
      <c r="B46" s="1" t="s">
        <v>135</v>
      </c>
      <c r="C46">
        <f>(C45/137.8215)</f>
        <v>6.5958567576073039E-3</v>
      </c>
      <c r="D46">
        <f>D45/141.0129</f>
        <v>6.0832459776483947E-3</v>
      </c>
      <c r="E46">
        <f>E45/113.7647</f>
        <v>7.0613592295815861E-3</v>
      </c>
      <c r="H46" t="s">
        <v>223</v>
      </c>
    </row>
    <row r="47" spans="1:15" x14ac:dyDescent="0.2">
      <c r="A47" s="18">
        <f t="shared" ref="A47:A50" si="4">+A45+0.1</f>
        <v>0.1</v>
      </c>
      <c r="B47" s="1" t="s">
        <v>136</v>
      </c>
      <c r="C47">
        <f>'Financial Statements'!B22/'Financial Statements'!B68</f>
        <v>1.9695887275023682</v>
      </c>
      <c r="D47">
        <f>'Financial Statements'!C22/'Financial Statements'!C68</f>
        <v>1.5007132667617689</v>
      </c>
      <c r="E47">
        <f>'Financial Statements'!D22/'Financial Statements'!D68</f>
        <v>0.87866358530127486</v>
      </c>
      <c r="H47" t="s">
        <v>224</v>
      </c>
    </row>
    <row r="48" spans="1:15" x14ac:dyDescent="0.2">
      <c r="A48" s="18">
        <f t="shared" si="4"/>
        <v>5.6999999999999975</v>
      </c>
      <c r="B48" s="1" t="s">
        <v>137</v>
      </c>
      <c r="C48">
        <f>'Financial Statements'!B18/('Financial Statements'!B55+'Financial Statements'!B59+'Financial Statements'!B68)</f>
        <v>0.74295684845016452</v>
      </c>
      <c r="D48">
        <f>'Financial Statements'!C18/('Financial Statements'!C55+'Financial Statements'!C59+'Financial Statements'!C68)</f>
        <v>0.59924976211298675</v>
      </c>
      <c r="E48">
        <f>'Financial Statements'!D18/('Financial Statements'!D55+'Financial Statements'!D59+'Financial Statements'!D68)</f>
        <v>0.38365773618321669</v>
      </c>
      <c r="F48" t="s">
        <v>244</v>
      </c>
      <c r="H48" t="s">
        <v>226</v>
      </c>
    </row>
    <row r="49" spans="1:15" x14ac:dyDescent="0.2">
      <c r="A49" s="18">
        <f t="shared" si="4"/>
        <v>0.2</v>
      </c>
      <c r="B49" s="1" t="s">
        <v>127</v>
      </c>
      <c r="C49">
        <f>'Financial Statements'!B22/'Financial Statements'!B48</f>
        <v>0.28292440929256851</v>
      </c>
      <c r="D49">
        <f>'Financial Statements'!C22/'Financial Statements'!C48</f>
        <v>0.26974205275183616</v>
      </c>
      <c r="E49">
        <f>'Financial Statements'!D22/'Financial Statements'!D48</f>
        <v>0.1772557180259843</v>
      </c>
      <c r="H49" t="s">
        <v>225</v>
      </c>
    </row>
    <row r="50" spans="1:15" x14ac:dyDescent="0.2">
      <c r="A50" s="18">
        <f t="shared" si="4"/>
        <v>5.7999999999999972</v>
      </c>
      <c r="B50" s="1" t="s">
        <v>138</v>
      </c>
      <c r="C50">
        <f>C51/C19</f>
        <v>0</v>
      </c>
      <c r="D50">
        <f>D51/D19</f>
        <v>2.6287458518044131</v>
      </c>
      <c r="E50">
        <f>E51/E19</f>
        <v>3.6961108812577574</v>
      </c>
      <c r="H50" t="s">
        <v>228</v>
      </c>
    </row>
    <row r="51" spans="1:15" x14ac:dyDescent="0.2">
      <c r="A51" s="18"/>
      <c r="B51" s="3" t="s">
        <v>139</v>
      </c>
      <c r="C51" s="24"/>
      <c r="D51" s="24">
        <f>'Financial Statements'!C69-'Financial Statements'!C36</f>
        <v>316062</v>
      </c>
      <c r="E51" s="24">
        <f>'Financial Statements'!D69-'Financial Statements'!D36</f>
        <v>285872</v>
      </c>
      <c r="F51" t="s">
        <v>245</v>
      </c>
      <c r="H51" t="s">
        <v>227</v>
      </c>
      <c r="K51" s="34" t="s">
        <v>250</v>
      </c>
      <c r="L51" s="34"/>
      <c r="M51" s="34"/>
      <c r="N51" s="34"/>
      <c r="O51" s="34"/>
    </row>
    <row r="53" spans="1:15" x14ac:dyDescent="0.2">
      <c r="C53" s="25"/>
    </row>
    <row r="54" spans="1:15" x14ac:dyDescent="0.2">
      <c r="B54" t="s">
        <v>152</v>
      </c>
      <c r="C54" s="25">
        <f>+('Financial Statements'!C6-'Financial Statements'!D6)/'Financial Statements'!D6</f>
        <v>0.34720743656765435</v>
      </c>
      <c r="D54" s="30">
        <f>+('Financial Statements'!C6-'Financial Statements'!B6)/'Financial Statements'!B6</f>
        <v>-5.9478366471747222E-2</v>
      </c>
      <c r="F54" t="s">
        <v>246</v>
      </c>
    </row>
    <row r="55" spans="1:15" x14ac:dyDescent="0.2">
      <c r="B55" t="s">
        <v>153</v>
      </c>
      <c r="C55" s="25">
        <f>('Financial Statements'!B6-'Financial Statements'!C6)/'Financial Statements'!C6</f>
        <v>6.3239764351428418E-2</v>
      </c>
    </row>
    <row r="56" spans="1:15" x14ac:dyDescent="0.2">
      <c r="B56" t="s">
        <v>154</v>
      </c>
      <c r="C56" s="25">
        <f>('Financial Statements'!C7-'Financial Statements'!D7)/'Financial Statements'!D7</f>
        <v>0.27259708376729652</v>
      </c>
    </row>
    <row r="57" spans="1:15" x14ac:dyDescent="0.2">
      <c r="B57" t="s">
        <v>155</v>
      </c>
      <c r="C57" s="25">
        <f>('Financial Statements'!B7-'Financial Statements'!C7)/'Financial Statements'!C7</f>
        <v>0.14181951041286078</v>
      </c>
    </row>
    <row r="58" spans="1:15" x14ac:dyDescent="0.2">
      <c r="B58" t="s">
        <v>156</v>
      </c>
      <c r="C58" s="25">
        <f>('Financial Statements'!C8-'Financial Statements'!D8)/'Financial Statements'!D8</f>
        <v>0.33259384733074693</v>
      </c>
    </row>
    <row r="59" spans="1:15" x14ac:dyDescent="0.2">
      <c r="B59" t="s">
        <v>157</v>
      </c>
      <c r="C59" s="25">
        <f>('Financial Statements'!B8-'Financial Statements'!C8)/'Financial Statements'!C8</f>
        <v>7.7937876041846058E-2</v>
      </c>
    </row>
    <row r="60" spans="1:15" x14ac:dyDescent="0.2">
      <c r="B60" t="s">
        <v>158</v>
      </c>
      <c r="C60" s="25">
        <f>('Financial Statements'!C13-'Financial Statements'!D13)/'Financial Statements'!D13</f>
        <v>0.45619116582186819</v>
      </c>
    </row>
    <row r="61" spans="1:15" x14ac:dyDescent="0.2">
      <c r="B61" t="s">
        <v>159</v>
      </c>
      <c r="C61" s="25">
        <f>('Financial Statements'!B13-'Financial Statements'!C13)/'Financial Statements'!C13</f>
        <v>0.11741997958596143</v>
      </c>
    </row>
    <row r="62" spans="1:15" x14ac:dyDescent="0.2">
      <c r="B62" t="s">
        <v>160</v>
      </c>
      <c r="C62" s="25">
        <f>('Financial Statements'!C15-'Financial Statements'!D15)/'Financial Statements'!D15</f>
        <v>0.16862201365187712</v>
      </c>
    </row>
    <row r="63" spans="1:15" x14ac:dyDescent="0.2">
      <c r="B63" t="s">
        <v>161</v>
      </c>
      <c r="C63" s="25">
        <f>('Financial Statements'!B15-'Financial Statements'!C15)/'Financial Statements'!C15</f>
        <v>0.19791001186456147</v>
      </c>
    </row>
    <row r="64" spans="1:15" x14ac:dyDescent="0.2">
      <c r="B64" t="s">
        <v>162</v>
      </c>
      <c r="C64" s="25">
        <f>('Financial Statements'!C16-'Financial Statements'!D16)/'Financial Statements'!D16</f>
        <v>0.10328379192608958</v>
      </c>
    </row>
    <row r="65" spans="2:3" x14ac:dyDescent="0.2">
      <c r="B65" t="s">
        <v>251</v>
      </c>
      <c r="C65" s="25">
        <f>('Financial Statements'!B16-'Financial Statements'!C16)/'Financial Statements'!C16</f>
        <v>0.14203795567287125</v>
      </c>
    </row>
    <row r="66" spans="2:3" x14ac:dyDescent="0.2">
      <c r="B66" t="s">
        <v>163</v>
      </c>
      <c r="C66" s="25">
        <f>('Financial Statements'!C17-'Financial Statements'!D17)/'Financial Statements'!D17</f>
        <v>0.13496948381090307</v>
      </c>
    </row>
    <row r="67" spans="2:3" x14ac:dyDescent="0.2">
      <c r="B67" t="s">
        <v>164</v>
      </c>
      <c r="C67" s="25">
        <f>('Financial Statements'!B17-'Financial Statements'!C17)/'Financial Statements'!C17</f>
        <v>0.16993642764372138</v>
      </c>
    </row>
    <row r="68" spans="2:3" x14ac:dyDescent="0.2">
      <c r="B68" t="s">
        <v>165</v>
      </c>
      <c r="C68" s="25">
        <f>('Financial Statements'!C18-'Financial Statements'!D18)/'Financial Statements'!D18</f>
        <v>0.64357048032826458</v>
      </c>
    </row>
    <row r="69" spans="2:3" x14ac:dyDescent="0.2">
      <c r="B69" t="s">
        <v>166</v>
      </c>
      <c r="C69" s="25">
        <f>('Financial Statements'!B18-'Financial Statements'!C18)/'Financial Statements'!C18</f>
        <v>9.6265225013538444E-2</v>
      </c>
    </row>
    <row r="70" spans="2:3" x14ac:dyDescent="0.2">
      <c r="B70" t="s">
        <v>167</v>
      </c>
      <c r="C70" s="25">
        <f>('Financial Statements'!C20-'Financial Statements'!D20)/'Financial Statements'!D20</f>
        <v>0.62774440685039723</v>
      </c>
    </row>
    <row r="71" spans="2:3" x14ac:dyDescent="0.2">
      <c r="B71" t="s">
        <v>168</v>
      </c>
      <c r="C71" s="25">
        <f>('Financial Statements'!B20-'Financial Statements'!C20)/'Financial Statements'!C20</f>
        <v>9.0616901846951203E-2</v>
      </c>
    </row>
    <row r="72" spans="2:3" x14ac:dyDescent="0.2">
      <c r="B72" t="s">
        <v>169</v>
      </c>
      <c r="C72" s="25">
        <f>('Financial Statements'!C22-'Financial Statements'!D22)/'Financial Statements'!D22</f>
        <v>0.64916131055024295</v>
      </c>
    </row>
    <row r="73" spans="2:3" x14ac:dyDescent="0.2">
      <c r="B73" t="s">
        <v>170</v>
      </c>
      <c r="C73" s="25">
        <f>('Financial Statements'!B22-'Financial Statements'!C22)/'Financial Statements'!C22</f>
        <v>5.4108576256865229E-2</v>
      </c>
    </row>
    <row r="74" spans="2:3" x14ac:dyDescent="0.2">
      <c r="B74" t="s">
        <v>171</v>
      </c>
      <c r="C74" s="25">
        <f>('Financial Statements'!C42-'Financial Statements'!D42)/'Financial Statements'!D42</f>
        <v>-6.176894226687913E-2</v>
      </c>
    </row>
    <row r="75" spans="2:3" x14ac:dyDescent="0.2">
      <c r="B75" t="s">
        <v>172</v>
      </c>
      <c r="C75" s="25">
        <f>('Financial Statements'!B42-'Financial Statements'!C42)/'Financial Statements'!C42</f>
        <v>4.2199412619775131E-3</v>
      </c>
    </row>
    <row r="76" spans="2:3" x14ac:dyDescent="0.2">
      <c r="B76" t="s">
        <v>173</v>
      </c>
      <c r="C76" s="25">
        <f>('Financial Statements'!C47-'Financial Statements'!D47)/'Financial Statements'!D47</f>
        <v>0.19975579297904814</v>
      </c>
    </row>
    <row r="77" spans="2:3" x14ac:dyDescent="0.2">
      <c r="B77" t="s">
        <v>174</v>
      </c>
      <c r="C77" s="25">
        <f>('Financial Statements'!B47-'Financial Statements'!C47)/'Financial Statements'!C47</f>
        <v>5.4772720964443994E-3</v>
      </c>
    </row>
    <row r="78" spans="2:3" x14ac:dyDescent="0.2">
      <c r="B78" t="s">
        <v>175</v>
      </c>
      <c r="C78" s="25">
        <f>('Financial Statements'!C48-'Financial Statements'!D48)/'Financial Statements'!D48</f>
        <v>8.3714123400681711E-2</v>
      </c>
    </row>
    <row r="79" spans="2:3" x14ac:dyDescent="0.2">
      <c r="B79" t="s">
        <v>176</v>
      </c>
      <c r="C79" s="25">
        <f>('Financial Statements'!B48-'Financial Statements'!C48)/'Financial Statements'!C48</f>
        <v>4.9942735369029236E-3</v>
      </c>
    </row>
    <row r="80" spans="2:3" x14ac:dyDescent="0.2">
      <c r="B80" t="s">
        <v>177</v>
      </c>
      <c r="C80" s="25">
        <f>('Financial Statements'!C56-'Financial Statements'!D56)/'Financial Statements'!D56</f>
        <v>0.19061219067860938</v>
      </c>
    </row>
    <row r="81" spans="2:3" x14ac:dyDescent="0.2">
      <c r="B81" t="s">
        <v>178</v>
      </c>
      <c r="C81" s="25">
        <f>('Financial Statements'!B56-'Financial Statements'!C56)/'Financial Statements'!C56</f>
        <v>0.22713398841258836</v>
      </c>
    </row>
    <row r="82" spans="2:3" x14ac:dyDescent="0.2">
      <c r="B82" t="s">
        <v>179</v>
      </c>
      <c r="C82" s="25">
        <f>('Financial Statements'!C61-'Financial Statements'!D61)/'Financial Statements'!D61</f>
        <v>6.0552243775994566E-2</v>
      </c>
    </row>
    <row r="83" spans="2:3" x14ac:dyDescent="0.2">
      <c r="B83" t="s">
        <v>180</v>
      </c>
      <c r="C83" s="25">
        <f>('Financial Statements'!B61-'Financial Statements'!C61)/'Financial Statements'!C61</f>
        <v>-8.8222075835277747E-2</v>
      </c>
    </row>
    <row r="84" spans="2:3" x14ac:dyDescent="0.2">
      <c r="B84" t="s">
        <v>181</v>
      </c>
      <c r="C84" s="25">
        <f>('Financial Statements'!C62-'Financial Statements'!D62)/'Financial Statements'!D62</f>
        <v>0.11356841449783213</v>
      </c>
    </row>
    <row r="85" spans="2:3" x14ac:dyDescent="0.2">
      <c r="B85" t="s">
        <v>182</v>
      </c>
      <c r="C85" s="25">
        <f>('Financial Statements'!B62-'Financial Statements'!C62)/'Financial Statements'!C62</f>
        <v>4.9219900525160468E-2</v>
      </c>
    </row>
    <row r="86" spans="2:3" x14ac:dyDescent="0.2">
      <c r="B86" t="s">
        <v>184</v>
      </c>
      <c r="C86" s="25">
        <f>('Financial Statements'!C68-'Financial Statements'!D68)/'Financial Statements'!D68</f>
        <v>-3.4420483937617659E-2</v>
      </c>
    </row>
    <row r="87" spans="2:3" x14ac:dyDescent="0.2">
      <c r="B87" t="s">
        <v>183</v>
      </c>
      <c r="C87" s="25">
        <f>('Financial Statements'!B68-'Financial Statements'!C68)/'Financial Statements'!C68</f>
        <v>-0.19682992550324932</v>
      </c>
    </row>
    <row r="88" spans="2:3" x14ac:dyDescent="0.2">
      <c r="B88" t="s">
        <v>185</v>
      </c>
      <c r="C88" s="25">
        <f>('Financial Statements'!C69-'Financial Statements'!D69)/'Financial Statements'!D69</f>
        <v>8.3714123400681711E-2</v>
      </c>
    </row>
    <row r="89" spans="2:3" x14ac:dyDescent="0.2">
      <c r="B89" t="s">
        <v>186</v>
      </c>
      <c r="C89" s="25">
        <f>('Financial Statements'!B69-'Financial Statements'!C69)/'Financial Statements'!C69</f>
        <v>4.9942735369029236E-3</v>
      </c>
    </row>
    <row r="90" spans="2:3" x14ac:dyDescent="0.2">
      <c r="B90" t="s">
        <v>187</v>
      </c>
      <c r="C90" s="25">
        <f>('Financial Statements'!C91-'Financial Statements'!D91)/'Financial Statements'!D91</f>
        <v>0.28961003545132263</v>
      </c>
    </row>
    <row r="91" spans="2:3" x14ac:dyDescent="0.2">
      <c r="B91" t="s">
        <v>188</v>
      </c>
      <c r="C91" s="25">
        <f>('Financial Statements'!B91-'Financial Statements'!C91)/'Financial Statements'!C91</f>
        <v>0.17409984813241317</v>
      </c>
    </row>
    <row r="92" spans="2:3" x14ac:dyDescent="0.2">
      <c r="B92" t="s">
        <v>190</v>
      </c>
      <c r="C92" s="25">
        <f>('Financial Statements'!C99-'Financial Statements'!D99)/'Financial Statements'!D99</f>
        <v>2.3912333877360692</v>
      </c>
    </row>
    <row r="93" spans="2:3" x14ac:dyDescent="0.2">
      <c r="B93" t="s">
        <v>191</v>
      </c>
      <c r="C93" s="25">
        <f>('Financial Statements'!B99-'Financial Statements'!C99)/'Financial Statements'!C99</f>
        <v>0.53688552767273978</v>
      </c>
    </row>
    <row r="94" spans="2:3" x14ac:dyDescent="0.2">
      <c r="B94" t="s">
        <v>189</v>
      </c>
      <c r="C94" s="25">
        <f>('Financial Statements'!C108-'Financial Statements'!D108)/'Financial Statements'!D108</f>
        <v>7.5247638792904858E-2</v>
      </c>
    </row>
    <row r="95" spans="2:3" x14ac:dyDescent="0.2">
      <c r="B95" t="s">
        <v>192</v>
      </c>
      <c r="C95" s="25">
        <f>('Financial Statements'!B108-'Financial Statements'!C108)/'Financial Statements'!C108</f>
        <v>0.18634644842693862</v>
      </c>
    </row>
    <row r="96" spans="2:3" x14ac:dyDescent="0.2">
      <c r="B96" t="s">
        <v>193</v>
      </c>
      <c r="C96" s="25">
        <f>('Financial Statements'!C109-'Financial Statements'!D109)/'Financial Statements'!D109</f>
        <v>-0.6300910397700048</v>
      </c>
    </row>
    <row r="97" spans="2:5" x14ac:dyDescent="0.2">
      <c r="B97" t="s">
        <v>194</v>
      </c>
      <c r="C97" s="25">
        <f>('Financial Statements'!B109-'Financial Statements'!C109)/'Financial Statements'!C109</f>
        <v>1.8373056994818653</v>
      </c>
    </row>
    <row r="98" spans="2:5" x14ac:dyDescent="0.2">
      <c r="B98" t="s">
        <v>195</v>
      </c>
      <c r="C98" s="25">
        <f>('Financial Statements'!C110-'Financial Statements'!D110)/'Financial Statements'!D110</f>
        <v>-9.7011736912211918E-2</v>
      </c>
    </row>
    <row r="99" spans="2:5" x14ac:dyDescent="0.2">
      <c r="B99" t="s">
        <v>196</v>
      </c>
      <c r="C99" s="25">
        <f>('Financial Statements'!B110-'Financial Statements'!C110)/'Financial Statements'!C110</f>
        <v>-0.30482340170892591</v>
      </c>
    </row>
    <row r="101" spans="2:5" x14ac:dyDescent="0.2">
      <c r="B101" s="36" t="s">
        <v>252</v>
      </c>
      <c r="C101" s="36">
        <f>+'Financial Statements'!B4</f>
        <v>2022</v>
      </c>
      <c r="D101" s="36">
        <f>+'Financial Statements'!C4</f>
        <v>2021</v>
      </c>
      <c r="E101" s="36">
        <f>+'Financial Statements'!D4</f>
        <v>2020</v>
      </c>
    </row>
    <row r="102" spans="2:5" x14ac:dyDescent="0.2">
      <c r="B102" t="s">
        <v>253</v>
      </c>
      <c r="C102" s="25">
        <f>('Financial Statements'!B12/'Financial Statements'!B8)</f>
        <v>0.56690369438639909</v>
      </c>
      <c r="D102" s="25">
        <f>('Financial Statements'!C12/'Financial Statements'!C8)</f>
        <v>0.58220640374832222</v>
      </c>
      <c r="E102" s="25">
        <f>('Financial Statements'!D12/'Financial Statements'!D8)</f>
        <v>0.61766752272189129</v>
      </c>
    </row>
    <row r="103" spans="2:5" x14ac:dyDescent="0.2">
      <c r="C103" s="25"/>
      <c r="D103" s="25"/>
      <c r="E103" s="25"/>
    </row>
    <row r="104" spans="2:5" x14ac:dyDescent="0.2">
      <c r="C104" s="25"/>
      <c r="D104" s="25"/>
      <c r="E104" s="25"/>
    </row>
    <row r="105" spans="2:5" x14ac:dyDescent="0.2">
      <c r="C105" s="25"/>
      <c r="D105" s="25"/>
      <c r="E105" s="25"/>
    </row>
    <row r="106" spans="2:5" x14ac:dyDescent="0.2">
      <c r="B106" t="s">
        <v>254</v>
      </c>
      <c r="C106" s="25">
        <f>('Financial Statements'!B13/'Financial Statements'!B8)</f>
        <v>0.43309630561360085</v>
      </c>
      <c r="D106" s="25">
        <f>('Financial Statements'!C13/'Financial Statements'!C8)</f>
        <v>0.41779359625167778</v>
      </c>
      <c r="E106" s="25">
        <f>('Financial Statements'!D13/'Financial Statements'!D8)</f>
        <v>0.38233247727810865</v>
      </c>
    </row>
    <row r="107" spans="2:5" x14ac:dyDescent="0.2">
      <c r="C107" s="37"/>
      <c r="D107" s="25"/>
      <c r="E107" s="25"/>
    </row>
    <row r="108" spans="2:5" x14ac:dyDescent="0.2">
      <c r="C108" s="25"/>
      <c r="D108" s="25"/>
      <c r="E108" s="25"/>
    </row>
    <row r="109" spans="2:5" x14ac:dyDescent="0.2">
      <c r="C109" s="25"/>
      <c r="D109" s="25"/>
      <c r="E109" s="25"/>
    </row>
    <row r="110" spans="2:5" x14ac:dyDescent="0.2">
      <c r="B110" t="s">
        <v>255</v>
      </c>
      <c r="C110" s="25">
        <f>('Financial Statements'!B15/'Financial Statements'!B8)</f>
        <v>6.657148363798665E-2</v>
      </c>
      <c r="D110" s="25">
        <f>('Financial Statements'!C15/'Financial Statements'!C8)</f>
        <v>5.9904269074427925E-2</v>
      </c>
      <c r="E110" s="25">
        <f>('Financial Statements'!D15/'Financial Statements'!D8)</f>
        <v>6.8309564140393061E-2</v>
      </c>
    </row>
    <row r="111" spans="2:5" x14ac:dyDescent="0.2">
      <c r="C111" s="25"/>
      <c r="D111" s="25"/>
      <c r="E111" s="25"/>
    </row>
    <row r="112" spans="2:5" x14ac:dyDescent="0.2">
      <c r="C112" s="25"/>
      <c r="D112" s="25"/>
      <c r="E112" s="25"/>
    </row>
    <row r="113" spans="2:5" x14ac:dyDescent="0.2">
      <c r="B113" t="s">
        <v>256</v>
      </c>
      <c r="C113" s="25">
        <f>('Financial Statements'!B16/'Financial Statements'!B8)</f>
        <v>6.3637378020328261E-2</v>
      </c>
      <c r="D113" s="25">
        <f>('Financial Statements'!C16/'Financial Statements'!C8)</f>
        <v>6.006555190163388E-2</v>
      </c>
      <c r="E113" s="25">
        <f>('Financial Statements'!D16/'Financial Statements'!D8)</f>
        <v>7.2549769593646979E-2</v>
      </c>
    </row>
    <row r="114" spans="2:5" x14ac:dyDescent="0.2">
      <c r="C114" s="25"/>
      <c r="D114" s="25"/>
      <c r="E114" s="25"/>
    </row>
    <row r="115" spans="2:5" x14ac:dyDescent="0.2">
      <c r="C115" s="25"/>
      <c r="D115" s="25"/>
      <c r="E115" s="25"/>
    </row>
    <row r="116" spans="2:5" x14ac:dyDescent="0.2">
      <c r="C116" s="25"/>
      <c r="D116" s="25"/>
      <c r="E116" s="25"/>
    </row>
    <row r="117" spans="2:5" x14ac:dyDescent="0.2">
      <c r="B117" t="s">
        <v>257</v>
      </c>
      <c r="C117" s="25">
        <f>('Financial Statements'!B18/'Financial Statements'!B8)</f>
        <v>0.30288744395528594</v>
      </c>
      <c r="D117" s="25">
        <f>('Financial Statements'!C18/'Financial Statements'!C8)</f>
        <v>0.29782377527561593</v>
      </c>
      <c r="E117" s="25">
        <f>('Financial Statements'!D18/'Financial Statements'!D8)</f>
        <v>0.24147314354406862</v>
      </c>
    </row>
    <row r="118" spans="2:5" x14ac:dyDescent="0.2">
      <c r="C118" s="25"/>
      <c r="D118" s="25"/>
      <c r="E118" s="25"/>
    </row>
    <row r="119" spans="2:5" x14ac:dyDescent="0.2">
      <c r="C119" s="25"/>
      <c r="D119" s="25"/>
      <c r="E119" s="25"/>
    </row>
    <row r="120" spans="2:5" x14ac:dyDescent="0.2">
      <c r="C120" s="25"/>
      <c r="D120" s="25"/>
      <c r="E120" s="25"/>
    </row>
    <row r="121" spans="2:5" x14ac:dyDescent="0.2">
      <c r="B121" t="s">
        <v>258</v>
      </c>
      <c r="C121" s="25">
        <f>('Financial Statements'!B22/'Financial Statements'!B8)</f>
        <v>0.25309640705199732</v>
      </c>
      <c r="D121" s="25">
        <f>('Financial Statements'!C22/'Financial Statements'!C8)</f>
        <v>0.25881793355694238</v>
      </c>
      <c r="E121" s="25">
        <f>('Financial Statements'!D22/'Financial Statements'!D8)</f>
        <v>0.20913611278072236</v>
      </c>
    </row>
    <row r="122" spans="2:5" x14ac:dyDescent="0.2">
      <c r="C122" s="25"/>
      <c r="D122" s="25"/>
      <c r="E122" s="25"/>
    </row>
    <row r="123" spans="2:5" x14ac:dyDescent="0.2">
      <c r="C123" s="25"/>
      <c r="D123" s="25"/>
      <c r="E123" s="25"/>
    </row>
    <row r="124" spans="2:5" x14ac:dyDescent="0.2">
      <c r="C124" s="25"/>
      <c r="D124" s="25"/>
      <c r="E124" s="25"/>
    </row>
    <row r="125" spans="2:5" x14ac:dyDescent="0.2">
      <c r="B125" t="s">
        <v>259</v>
      </c>
      <c r="C125" s="25">
        <f>('Financial Statements'!B113/'Financial Statements'!B20)</f>
        <v>0.1643367505436471</v>
      </c>
      <c r="D125" s="25">
        <f>('Financial Statements'!C113/'Financial Statements'!C20)</f>
        <v>0.23244846942045841</v>
      </c>
      <c r="E125" s="25">
        <f>('Financial Statements'!D113/'Financial Statements'!D20)</f>
        <v>0.14161362924982487</v>
      </c>
    </row>
    <row r="126" spans="2:5" x14ac:dyDescent="0.2">
      <c r="C126" s="25"/>
      <c r="D126" s="25"/>
      <c r="E126" s="25"/>
    </row>
    <row r="127" spans="2:5" x14ac:dyDescent="0.2">
      <c r="C127" s="25"/>
      <c r="D127" s="25"/>
      <c r="E127" s="25"/>
    </row>
    <row r="128" spans="2:5" x14ac:dyDescent="0.2">
      <c r="C128" s="25"/>
      <c r="D128" s="25"/>
      <c r="E128" s="25"/>
    </row>
    <row r="129" spans="2:5" x14ac:dyDescent="0.2">
      <c r="B129" t="s">
        <v>260</v>
      </c>
      <c r="C129" s="25">
        <f>(-'Financial Statements'!B99/'Financial Statements'!B8)</f>
        <v>5.6688847862692987E-2</v>
      </c>
      <c r="D129" s="25">
        <f>(-'Financial Statements'!C99/'Financial Statements'!C8)</f>
        <v>3.9760317317128507E-2</v>
      </c>
      <c r="E129" s="25">
        <f>(-'Financial Statements'!D99/'Financial Statements'!D8)</f>
        <v>1.5623918547256069E-2</v>
      </c>
    </row>
    <row r="130" spans="2:5" x14ac:dyDescent="0.2">
      <c r="C130" s="25"/>
      <c r="D130" s="25"/>
      <c r="E130" s="25"/>
    </row>
    <row r="131" spans="2:5" x14ac:dyDescent="0.2">
      <c r="C131" s="25"/>
      <c r="D131" s="25"/>
      <c r="E131" s="25"/>
    </row>
    <row r="132" spans="2:5" x14ac:dyDescent="0.2">
      <c r="C132" s="25"/>
      <c r="D132" s="25"/>
      <c r="E132" s="25"/>
    </row>
    <row r="133" spans="2:5" x14ac:dyDescent="0.2">
      <c r="B133" t="s">
        <v>261</v>
      </c>
      <c r="C133" s="25">
        <f>(-'Financial Statements'!B99/'Financial Statements'!B45)</f>
        <v>0.53075955077522141</v>
      </c>
      <c r="D133" s="25">
        <f>(-'Financial Statements'!C99/'Financial Statements'!C45)</f>
        <v>0.36878803245436104</v>
      </c>
      <c r="E133" s="25">
        <f>(-'Financial Statements'!D99/'Financial Statements'!D45)</f>
        <v>0.11665669368438231</v>
      </c>
    </row>
    <row r="134" spans="2:5" x14ac:dyDescent="0.2">
      <c r="C134" s="25"/>
      <c r="D134" s="25"/>
      <c r="E134" s="25"/>
    </row>
    <row r="135" spans="2:5" x14ac:dyDescent="0.2">
      <c r="C135" s="25"/>
      <c r="D135" s="25"/>
      <c r="E135" s="25"/>
    </row>
  </sheetData>
  <mergeCells count="1">
    <mergeCell ref="C2:E2"/>
  </mergeCells>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Instructions</vt:lpstr>
      <vt:lpstr>Financial Statements</vt:lpstr>
      <vt:lpstr>List of Ratios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Microsoft Office User</cp:lastModifiedBy>
  <dcterms:created xsi:type="dcterms:W3CDTF">2020-05-18T16:32:37Z</dcterms:created>
  <dcterms:modified xsi:type="dcterms:W3CDTF">2023-09-03T04:19:15Z</dcterms:modified>
</cp:coreProperties>
</file>