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" windowHeight="888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3" l="1"/>
  <c r="E69" i="3"/>
  <c r="E68" i="3"/>
  <c r="E66" i="3"/>
  <c r="E65" i="3"/>
  <c r="E63" i="3"/>
  <c r="E62" i="3"/>
  <c r="E60" i="3"/>
  <c r="E59" i="3"/>
  <c r="E58" i="3"/>
  <c r="D12" i="3"/>
  <c r="E12" i="3"/>
  <c r="C12" i="3"/>
  <c r="D84" i="3" l="1"/>
  <c r="E84" i="3"/>
  <c r="C84" i="3"/>
  <c r="D65" i="3"/>
  <c r="D66" i="3"/>
  <c r="C66" i="3"/>
  <c r="C65" i="3"/>
  <c r="D58" i="3"/>
  <c r="D59" i="3"/>
  <c r="C59" i="3"/>
  <c r="C58" i="3"/>
  <c r="C51" i="3"/>
  <c r="D51" i="3"/>
  <c r="E51" i="3"/>
  <c r="D46" i="3"/>
  <c r="E46" i="3"/>
  <c r="C46" i="3"/>
  <c r="D40" i="3"/>
  <c r="E40" i="3"/>
  <c r="C40" i="3"/>
  <c r="D45" i="3"/>
  <c r="E45" i="3"/>
  <c r="C45" i="3"/>
  <c r="D41" i="3"/>
  <c r="E41" i="3"/>
  <c r="C41" i="3"/>
  <c r="D108" i="1" l="1"/>
  <c r="C108" i="1"/>
  <c r="B108" i="1"/>
  <c r="D99" i="1"/>
  <c r="C99" i="1"/>
  <c r="B99" i="1"/>
  <c r="D68" i="1" l="1"/>
  <c r="E42" i="3" s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E76" i="3" s="1"/>
  <c r="C17" i="1"/>
  <c r="B17" i="1"/>
  <c r="D12" i="1"/>
  <c r="C12" i="1"/>
  <c r="B12" i="1"/>
  <c r="D8" i="1"/>
  <c r="E83" i="3" s="1"/>
  <c r="C8" i="1"/>
  <c r="B8" i="1"/>
  <c r="E3" i="3"/>
  <c r="D3" i="3"/>
  <c r="C3" i="3"/>
  <c r="D33" i="1"/>
  <c r="D73" i="1" s="1"/>
  <c r="C33" i="1"/>
  <c r="C73" i="1" s="1"/>
  <c r="B33" i="1"/>
  <c r="B73" i="1" s="1"/>
  <c r="C60" i="3" l="1"/>
  <c r="C83" i="3"/>
  <c r="C5" i="3"/>
  <c r="C8" i="3"/>
  <c r="C14" i="3"/>
  <c r="C13" i="3" s="1"/>
  <c r="D8" i="3"/>
  <c r="D14" i="3"/>
  <c r="D13" i="3" s="1"/>
  <c r="C74" i="3"/>
  <c r="E14" i="3"/>
  <c r="E13" i="3" s="1"/>
  <c r="E8" i="3"/>
  <c r="D74" i="3"/>
  <c r="D83" i="3"/>
  <c r="D60" i="3"/>
  <c r="E74" i="3"/>
  <c r="C42" i="3"/>
  <c r="C70" i="3"/>
  <c r="D70" i="3"/>
  <c r="D42" i="3"/>
  <c r="C76" i="3"/>
  <c r="D76" i="3"/>
  <c r="D11" i="3"/>
  <c r="D10" i="3"/>
  <c r="D9" i="3"/>
  <c r="D36" i="3"/>
  <c r="C25" i="3"/>
  <c r="C43" i="3"/>
  <c r="C27" i="3"/>
  <c r="D13" i="1"/>
  <c r="E35" i="3"/>
  <c r="D43" i="3"/>
  <c r="D25" i="3"/>
  <c r="D27" i="3"/>
  <c r="B13" i="1"/>
  <c r="C75" i="3" s="1"/>
  <c r="C35" i="3"/>
  <c r="C62" i="1"/>
  <c r="D6" i="3"/>
  <c r="D7" i="3"/>
  <c r="D35" i="3"/>
  <c r="E11" i="3"/>
  <c r="E10" i="3"/>
  <c r="E36" i="3"/>
  <c r="E9" i="3"/>
  <c r="E6" i="3"/>
  <c r="E7" i="3"/>
  <c r="C10" i="3"/>
  <c r="C11" i="3"/>
  <c r="C36" i="3"/>
  <c r="C9" i="3"/>
  <c r="E5" i="3"/>
  <c r="B62" i="1"/>
  <c r="C6" i="3"/>
  <c r="C7" i="3"/>
  <c r="E25" i="3"/>
  <c r="E27" i="3"/>
  <c r="E43" i="3"/>
  <c r="D5" i="3"/>
  <c r="B48" i="1"/>
  <c r="C13" i="1"/>
  <c r="B18" i="1"/>
  <c r="C48" i="1"/>
  <c r="D62" i="1"/>
  <c r="D69" i="1" s="1"/>
  <c r="C69" i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8" i="1" l="1"/>
  <c r="D75" i="3"/>
  <c r="B69" i="1"/>
  <c r="C69" i="3"/>
  <c r="C26" i="3"/>
  <c r="C68" i="3"/>
  <c r="D26" i="3"/>
  <c r="D68" i="3"/>
  <c r="D18" i="1"/>
  <c r="E75" i="3"/>
  <c r="C29" i="3"/>
  <c r="C62" i="3"/>
  <c r="C77" i="3"/>
  <c r="D69" i="3"/>
  <c r="B20" i="1"/>
  <c r="C17" i="3"/>
  <c r="C20" i="1"/>
  <c r="D17" i="3"/>
  <c r="D20" i="1"/>
  <c r="E17" i="3"/>
  <c r="C34" i="3"/>
  <c r="E34" i="3"/>
  <c r="D34" i="3"/>
  <c r="A24" i="3"/>
  <c r="A25" i="3" s="1"/>
  <c r="A26" i="3" s="1"/>
  <c r="A27" i="3" s="1"/>
  <c r="A28" i="3" s="1"/>
  <c r="A29" i="3" s="1"/>
  <c r="A30" i="3" s="1"/>
  <c r="C63" i="3" l="1"/>
  <c r="C48" i="3"/>
  <c r="C50" i="3"/>
  <c r="E48" i="3"/>
  <c r="E50" i="3"/>
  <c r="D63" i="3"/>
  <c r="D48" i="3"/>
  <c r="D50" i="3"/>
  <c r="E29" i="3"/>
  <c r="E77" i="3"/>
  <c r="D29" i="3"/>
  <c r="D77" i="3"/>
  <c r="D62" i="3"/>
  <c r="A33" i="3"/>
  <c r="A34" i="3" s="1"/>
  <c r="A35" i="3" s="1"/>
  <c r="A36" i="3" s="1"/>
  <c r="A37" i="3" s="1"/>
  <c r="C22" i="1"/>
  <c r="D19" i="3"/>
  <c r="D18" i="3" s="1"/>
  <c r="D21" i="3"/>
  <c r="D22" i="1"/>
  <c r="E21" i="3"/>
  <c r="E19" i="3"/>
  <c r="E18" i="3" s="1"/>
  <c r="B22" i="1"/>
  <c r="C21" i="3"/>
  <c r="C19" i="3"/>
  <c r="C18" i="3" s="1"/>
  <c r="A39" i="3"/>
  <c r="A40" i="3" s="1"/>
  <c r="A41" i="3" s="1"/>
  <c r="A42" i="3" s="1"/>
  <c r="A43" i="3" s="1"/>
  <c r="A44" i="3" s="1"/>
  <c r="A46" i="3" s="1"/>
  <c r="A48" i="3" s="1"/>
  <c r="A50" i="3" s="1"/>
  <c r="D44" i="3" l="1"/>
  <c r="D78" i="3"/>
  <c r="C20" i="3"/>
  <c r="C28" i="3"/>
  <c r="C78" i="3"/>
  <c r="C44" i="3"/>
  <c r="E20" i="3"/>
  <c r="E28" i="3"/>
  <c r="E44" i="3"/>
  <c r="E78" i="3"/>
  <c r="D20" i="3"/>
  <c r="D28" i="3"/>
  <c r="D76" i="1"/>
  <c r="D91" i="1" s="1"/>
  <c r="E47" i="3"/>
  <c r="E22" i="3"/>
  <c r="E37" i="3"/>
  <c r="E49" i="3" s="1"/>
  <c r="B76" i="1"/>
  <c r="B91" i="1" s="1"/>
  <c r="C22" i="3"/>
  <c r="C47" i="3"/>
  <c r="C37" i="3"/>
  <c r="C49" i="3" s="1"/>
  <c r="C76" i="1"/>
  <c r="C91" i="1" s="1"/>
  <c r="D22" i="3"/>
  <c r="D47" i="3"/>
  <c r="D37" i="3"/>
  <c r="D49" i="3" s="1"/>
  <c r="D109" i="1" l="1"/>
  <c r="E31" i="3"/>
  <c r="E30" i="3" s="1"/>
  <c r="C109" i="1"/>
  <c r="D31" i="3"/>
  <c r="D30" i="3" s="1"/>
  <c r="B109" i="1"/>
  <c r="C31" i="3"/>
  <c r="C30" i="3" s="1"/>
</calcChain>
</file>

<file path=xl/sharedStrings.xml><?xml version="1.0" encoding="utf-8"?>
<sst xmlns="http://schemas.openxmlformats.org/spreadsheetml/2006/main" count="217" uniqueCount="169">
  <si>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</si>
  <si>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</si>
  <si>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</si>
  <si>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</si>
  <si>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</si>
  <si>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</si>
  <si>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</si>
  <si>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</si>
  <si>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</si>
  <si>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</si>
  <si>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</si>
  <si>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</si>
  <si>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</si>
  <si>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</si>
  <si>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</si>
  <si>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</si>
  <si>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</si>
  <si>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</si>
  <si>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</si>
  <si>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</si>
  <si>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</si>
  <si>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</si>
  <si>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</si>
  <si>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</si>
  <si>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</si>
  <si>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</si>
  <si>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</si>
  <si>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</si>
  <si>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</si>
  <si>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</si>
  <si>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</si>
  <si>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</si>
  <si>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</si>
  <si>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</si>
  <si>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</si>
  <si>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</si>
  <si>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</si>
  <si>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</si>
  <si>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</si>
  <si>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</si>
  <si>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</si>
  <si>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</si>
  <si>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</si>
  <si>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</si>
  <si>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</si>
  <si>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</si>
  <si>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</si>
  <si>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</si>
  <si>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</si>
  <si>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</si>
  <si>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</si>
  <si>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</si>
  <si>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</si>
  <si>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</si>
  <si>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</si>
  <si>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</si>
  <si>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</si>
  <si>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</si>
  <si>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</si>
  <si>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</si>
  <si>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</si>
  <si>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</si>
  <si>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</si>
  <si>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</si>
  <si>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</si>
  <si>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</si>
  <si>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</si>
  <si>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</si>
  <si>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</si>
  <si>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</si>
  <si>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</si>
  <si>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</si>
  <si>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</si>
  <si>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</si>
  <si>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</si>
  <si>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</si>
  <si>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</si>
  <si>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</si>
  <si>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</si>
  <si>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</si>
  <si>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</si>
  <si>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</si>
  <si>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</si>
  <si>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</si>
  <si>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</si>
  <si>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</si>
  <si>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</si>
  <si>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</si>
  <si>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</si>
  <si>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</si>
  <si>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</si>
  <si>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</si>
  <si>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</si>
  <si>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</si>
  <si>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</si>
  <si>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</si>
  <si>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</si>
  <si>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</si>
  <si>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</si>
  <si>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</si>
  <si>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</si>
  <si>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</si>
  <si>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</si>
  <si>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</si>
  <si>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</si>
  <si>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</si>
  <si>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</si>
  <si>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</si>
  <si>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</si>
  <si>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</si>
  <si>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</si>
  <si>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</si>
  <si>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</si>
  <si>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</si>
  <si>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</si>
  <si>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</si>
  <si>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</si>
  <si>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</si>
  <si>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</si>
  <si>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</si>
  <si>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</si>
  <si>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</si>
  <si>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</si>
  <si>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</si>
  <si>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</si>
  <si>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</si>
  <si>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</si>
  <si>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</si>
  <si>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</si>
  <si>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</si>
  <si>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</si>
  <si>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</si>
  <si>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</si>
  <si>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</si>
  <si>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</si>
  <si>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</si>
  <si>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</si>
  <si>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</si>
  <si>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</si>
  <si>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</si>
  <si>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</si>
  <si>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</si>
  <si>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</si>
  <si>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</si>
  <si>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</si>
  <si>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</si>
  <si>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</si>
  <si>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</si>
  <si>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</si>
  <si>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</si>
  <si>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Price</t>
  </si>
  <si>
    <t>GROWTH RATES</t>
  </si>
  <si>
    <t>EBT</t>
  </si>
  <si>
    <t>MARGINS</t>
  </si>
  <si>
    <t>OTHER RATIOS</t>
  </si>
  <si>
    <t>earnings before tax</t>
  </si>
  <si>
    <t>67,091,00</t>
  </si>
  <si>
    <t>13.3%%</t>
  </si>
  <si>
    <t>Subtract Noncash Charges such as Depreciation from the operational expenses before dividing by 365</t>
  </si>
  <si>
    <t>Should be divided by Sales Revenue not Cost of Sales</t>
  </si>
  <si>
    <t>Inventory Days + Receivable Days - Payable Days</t>
  </si>
  <si>
    <t>Gross profit/Sales Revenue</t>
  </si>
  <si>
    <t>Operating Income + Depreciation &amp; Amortization</t>
  </si>
  <si>
    <t>Include only term debt under long term liabilities, since short term debt is not a form of capital</t>
  </si>
  <si>
    <t>EBIT / Interest Expense. EBIT is operating Income, Interest expense can be found at the bottom of cash flow</t>
  </si>
  <si>
    <t>EBIT/ (Interest + Debt repayment) where Interest expense can be found at the bottom of cash flow and debt repayment can be found in the cash flow</t>
  </si>
  <si>
    <t>Income tax expense/EBIT</t>
  </si>
  <si>
    <t>Depreciation should be added, if you are calculating Capex from changes to PPE in balance sheet
FCFE = Cash from operations + Payments made in connection with business acquisitions + Proceeds from issuance of term debt. All these figures can be found in cash flow statement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</si>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</sst>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name val="HelveticaLTStd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8" fillId="0" borderId="0" xfId="0" applyFont="1"/>
    <xf numFmtId="10" fontId="0" fillId="0" borderId="0" xfId="3" applyNumberFormat="1" applyFont="1"/>
    <xf numFmtId="10" fontId="0" fillId="0" borderId="0" xfId="0" applyNumberFormat="1"/>
    <xf numFmtId="166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0" borderId="0" xfId="0" applyFont="1"/>
    <xf numFmtId="164" fontId="1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2" fillId="5" borderId="0" xfId="0" applyFont="1" applyFill="1"/>
    <xf numFmtId="3" fontId="2" fillId="0" borderId="0" xfId="0" applyNumberFormat="1" applyFont="1"/>
    <xf numFmtId="0" fontId="0" fillId="0" borderId="0" xfId="0" applyNumberFormat="1"/>
    <xf numFmtId="2" fontId="9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3" fontId="11" fillId="0" borderId="0" xfId="0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B9" sqref="B9"/>
    </sheetView>
  </sheetViews>
  <sheetFormatPr defaultColWidth="8.77734375" defaultRowHeight="14.4"/>
  <cols>
    <col min="1" max="1" width="104.44140625" customWidth="1"/>
  </cols>
  <sheetData>
    <row r="1" spans="1:1" ht="23.4">
      <c r="A1" s="5" t="s">
        <v>87</v>
      </c>
    </row>
    <row r="3" spans="1:1">
      <c r="A3" s="7" t="s">
        <v>141</v>
      </c>
    </row>
    <row r="4" spans="1:1">
      <c r="A4" s="16" t="s">
        <v>88</v>
      </c>
    </row>
    <row r="5" spans="1:1">
      <c r="A5" s="7" t="s">
        <v>97</v>
      </c>
    </row>
    <row r="6" spans="1:1">
      <c r="A6" s="1" t="s">
        <v>148</v>
      </c>
    </row>
    <row r="7" spans="1:1">
      <c r="A7" s="1"/>
    </row>
    <row r="8" spans="1:1">
      <c r="A8" s="17" t="s">
        <v>149</v>
      </c>
    </row>
    <row r="9" spans="1:1">
      <c r="A9" s="1" t="s">
        <v>145</v>
      </c>
    </row>
    <row r="10" spans="1:1">
      <c r="A10" s="1" t="s">
        <v>89</v>
      </c>
    </row>
    <row r="11" spans="1:1">
      <c r="A11" s="1" t="s">
        <v>90</v>
      </c>
    </row>
    <row r="12" spans="1:1">
      <c r="A12" s="1" t="s">
        <v>91</v>
      </c>
    </row>
    <row r="13" spans="1:1">
      <c r="A13" s="1"/>
    </row>
    <row r="14" spans="1:1">
      <c r="A14" s="17" t="s">
        <v>92</v>
      </c>
    </row>
    <row r="15" spans="1:1">
      <c r="A15" s="1" t="s">
        <v>146</v>
      </c>
    </row>
    <row r="16" spans="1:1">
      <c r="A16" s="1" t="s">
        <v>89</v>
      </c>
    </row>
    <row r="17" spans="1:1">
      <c r="A17" s="1" t="s">
        <v>90</v>
      </c>
    </row>
    <row r="18" spans="1:1">
      <c r="A18" s="1" t="s">
        <v>14</v>
      </c>
    </row>
    <row r="19" spans="1:1">
      <c r="A19" s="1" t="s">
        <v>93</v>
      </c>
    </row>
    <row r="20" spans="1:1">
      <c r="A20" s="1"/>
    </row>
    <row r="21" spans="1:1">
      <c r="A21" s="17" t="s">
        <v>98</v>
      </c>
    </row>
    <row r="22" spans="1:1">
      <c r="A22" s="1" t="s">
        <v>94</v>
      </c>
    </row>
    <row r="23" spans="1:1">
      <c r="A23" s="1" t="s">
        <v>95</v>
      </c>
    </row>
    <row r="24" spans="1:1">
      <c r="A24" s="1" t="s">
        <v>96</v>
      </c>
    </row>
    <row r="25" spans="1:1">
      <c r="A25" s="1"/>
    </row>
    <row r="26" spans="1:1">
      <c r="A26" s="17" t="s">
        <v>144</v>
      </c>
    </row>
    <row r="27" spans="1:1">
      <c r="A27" s="16" t="s">
        <v>143</v>
      </c>
    </row>
    <row r="29" spans="1:1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71" workbookViewId="0">
      <selection activeCell="D96" sqref="D96"/>
    </sheetView>
  </sheetViews>
  <sheetFormatPr defaultColWidth="8.77734375" defaultRowHeight="14.4"/>
  <cols>
    <col min="1" max="1" width="59" customWidth="1"/>
    <col min="2" max="2" width="12.109375" customWidth="1"/>
    <col min="3" max="3" width="11.44140625" bestFit="1" customWidth="1"/>
    <col min="4" max="4" width="11.6640625" bestFit="1" customWidth="1"/>
    <col min="5" max="5" width="10.109375" bestFit="1" customWidth="1"/>
  </cols>
  <sheetData>
    <row r="1" spans="1:10" ht="60" customHeight="1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>
      <c r="A2" s="39" t="s">
        <v>1</v>
      </c>
      <c r="B2" s="39"/>
      <c r="C2" s="39"/>
      <c r="D2" s="39"/>
    </row>
    <row r="3" spans="1:10">
      <c r="B3" s="38" t="s">
        <v>23</v>
      </c>
      <c r="C3" s="38"/>
      <c r="D3" s="38"/>
    </row>
    <row r="4" spans="1:10">
      <c r="B4" s="7">
        <v>2022</v>
      </c>
      <c r="C4" s="7">
        <v>2021</v>
      </c>
      <c r="D4" s="7">
        <v>2020</v>
      </c>
      <c r="E4" s="7">
        <v>2019</v>
      </c>
    </row>
    <row r="5" spans="1:10">
      <c r="A5" t="s">
        <v>3</v>
      </c>
    </row>
    <row r="6" spans="1:10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35">
        <v>260174</v>
      </c>
    </row>
    <row r="9" spans="1:10">
      <c r="A9" t="s">
        <v>7</v>
      </c>
      <c r="B9" s="12"/>
      <c r="C9" s="12"/>
      <c r="D9" s="12"/>
    </row>
    <row r="10" spans="1:10">
      <c r="A10" s="1" t="s">
        <v>4</v>
      </c>
      <c r="B10" s="12">
        <v>201471</v>
      </c>
      <c r="C10" s="12">
        <v>192266</v>
      </c>
      <c r="D10" s="12">
        <v>151286</v>
      </c>
      <c r="E10" s="2">
        <v>144996</v>
      </c>
    </row>
    <row r="11" spans="1:10">
      <c r="A11" s="1" t="s">
        <v>5</v>
      </c>
      <c r="B11" s="12">
        <v>22075</v>
      </c>
      <c r="C11" s="12">
        <v>20715</v>
      </c>
      <c r="D11" s="12">
        <v>18273</v>
      </c>
      <c r="E11" s="2">
        <v>16786</v>
      </c>
    </row>
    <row r="12" spans="1:10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35">
        <v>161782</v>
      </c>
    </row>
    <row r="13" spans="1:10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E13" s="35">
        <v>98392</v>
      </c>
    </row>
    <row r="14" spans="1:10">
      <c r="A14" t="s">
        <v>10</v>
      </c>
      <c r="B14" s="12"/>
      <c r="C14" s="12"/>
      <c r="D14" s="12"/>
    </row>
    <row r="15" spans="1:10">
      <c r="A15" s="1" t="s">
        <v>11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>
      <c r="A16" s="1" t="s">
        <v>12</v>
      </c>
      <c r="B16" s="12">
        <v>25094</v>
      </c>
      <c r="C16" s="12">
        <v>21973</v>
      </c>
      <c r="D16" s="12">
        <v>19916</v>
      </c>
      <c r="E16" s="2">
        <v>18245</v>
      </c>
    </row>
    <row r="17" spans="1:8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E17" s="35">
        <v>34462</v>
      </c>
    </row>
    <row r="18" spans="1:8" s="7" customFormat="1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E18" s="35">
        <v>63930</v>
      </c>
    </row>
    <row r="19" spans="1:8">
      <c r="A19" t="s">
        <v>15</v>
      </c>
      <c r="B19" s="12">
        <v>-334</v>
      </c>
      <c r="C19" s="12">
        <v>258</v>
      </c>
      <c r="D19" s="12">
        <v>803</v>
      </c>
      <c r="E19" s="2">
        <v>1807</v>
      </c>
    </row>
    <row r="20" spans="1:8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E20" s="2">
        <v>65737</v>
      </c>
    </row>
    <row r="21" spans="1:8">
      <c r="A21" t="s">
        <v>17</v>
      </c>
      <c r="B21" s="12">
        <v>19300</v>
      </c>
      <c r="C21" s="12">
        <v>14527</v>
      </c>
      <c r="D21" s="12">
        <v>9680</v>
      </c>
      <c r="E21" s="2">
        <v>10481</v>
      </c>
    </row>
    <row r="22" spans="1:8" ht="15" thickBot="1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E22" s="35">
        <v>55256</v>
      </c>
    </row>
    <row r="23" spans="1:8" ht="15" thickTop="1">
      <c r="A23" t="s">
        <v>19</v>
      </c>
    </row>
    <row r="24" spans="1:8">
      <c r="A24" s="1" t="s">
        <v>20</v>
      </c>
      <c r="B24" s="10">
        <v>6.15</v>
      </c>
      <c r="C24" s="10">
        <v>5.67</v>
      </c>
      <c r="D24" s="10">
        <v>3.31</v>
      </c>
      <c r="E24" s="23">
        <v>2.99</v>
      </c>
      <c r="F24" s="32"/>
      <c r="G24" s="32"/>
      <c r="H24" s="32"/>
    </row>
    <row r="25" spans="1:8">
      <c r="A25" s="1" t="s">
        <v>21</v>
      </c>
      <c r="B25" s="10">
        <v>6.11</v>
      </c>
      <c r="C25" s="10">
        <v>5.61</v>
      </c>
      <c r="D25" s="10">
        <v>3.28</v>
      </c>
      <c r="E25" s="23">
        <v>2.97</v>
      </c>
      <c r="F25" s="32"/>
      <c r="G25" s="32"/>
      <c r="H25" s="32"/>
    </row>
    <row r="26" spans="1:8">
      <c r="A26" t="s">
        <v>22</v>
      </c>
    </row>
    <row r="27" spans="1:8">
      <c r="A27" s="1" t="s">
        <v>20</v>
      </c>
      <c r="B27" s="2">
        <v>16215963</v>
      </c>
      <c r="C27" s="2">
        <v>16701272</v>
      </c>
      <c r="D27" s="2">
        <v>17352119</v>
      </c>
      <c r="E27" s="2">
        <v>18471336</v>
      </c>
    </row>
    <row r="28" spans="1:8">
      <c r="A28" s="1" t="s">
        <v>21</v>
      </c>
      <c r="B28" s="2">
        <v>16325819</v>
      </c>
      <c r="C28" s="2">
        <v>16864919</v>
      </c>
      <c r="D28" s="2">
        <v>17528214</v>
      </c>
      <c r="E28" s="2">
        <v>18595651</v>
      </c>
    </row>
    <row r="29" spans="1:8">
      <c r="B29" s="32"/>
    </row>
    <row r="30" spans="1:8">
      <c r="A30" s="30" t="s">
        <v>150</v>
      </c>
      <c r="B30" s="31">
        <v>138.19999999999999</v>
      </c>
      <c r="C30" s="30">
        <v>141.5</v>
      </c>
      <c r="D30" s="30">
        <v>115.81</v>
      </c>
    </row>
    <row r="31" spans="1:8">
      <c r="A31" s="39" t="s">
        <v>24</v>
      </c>
      <c r="B31" s="39"/>
      <c r="C31" s="39"/>
      <c r="D31" s="39"/>
    </row>
    <row r="32" spans="1:8">
      <c r="B32" s="38" t="s">
        <v>142</v>
      </c>
      <c r="C32" s="38"/>
      <c r="D32" s="38"/>
    </row>
    <row r="33" spans="1:5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E33">
        <v>2019</v>
      </c>
    </row>
    <row r="35" spans="1:5">
      <c r="A35" t="s">
        <v>25</v>
      </c>
    </row>
    <row r="36" spans="1:5">
      <c r="A36" s="1" t="s">
        <v>26</v>
      </c>
      <c r="B36" s="12">
        <v>23646</v>
      </c>
      <c r="C36" s="12">
        <v>34940</v>
      </c>
      <c r="D36" s="12">
        <v>38016</v>
      </c>
      <c r="E36" s="2">
        <v>48844</v>
      </c>
    </row>
    <row r="37" spans="1:5">
      <c r="A37" s="1" t="s">
        <v>27</v>
      </c>
      <c r="B37" s="12">
        <v>24658</v>
      </c>
      <c r="C37" s="12">
        <v>27699</v>
      </c>
      <c r="D37" s="12">
        <v>52927</v>
      </c>
      <c r="E37" s="2">
        <v>51713</v>
      </c>
    </row>
    <row r="38" spans="1:5">
      <c r="A38" s="1" t="s">
        <v>28</v>
      </c>
      <c r="B38" s="12">
        <v>28184</v>
      </c>
      <c r="C38" s="12">
        <v>26278</v>
      </c>
      <c r="D38" s="12">
        <v>16120</v>
      </c>
      <c r="E38" s="2">
        <v>22926</v>
      </c>
    </row>
    <row r="39" spans="1:5">
      <c r="A39" s="1" t="s">
        <v>29</v>
      </c>
      <c r="B39" s="12">
        <v>4946</v>
      </c>
      <c r="C39" s="12">
        <v>6580</v>
      </c>
      <c r="D39" s="12">
        <v>4061</v>
      </c>
      <c r="E39" s="2">
        <v>4106</v>
      </c>
    </row>
    <row r="40" spans="1:5">
      <c r="A40" s="1" t="s">
        <v>47</v>
      </c>
      <c r="B40" s="12">
        <v>32748</v>
      </c>
      <c r="C40" s="12">
        <v>25228</v>
      </c>
      <c r="D40" s="12">
        <v>21325</v>
      </c>
      <c r="E40" s="2">
        <v>22878</v>
      </c>
    </row>
    <row r="41" spans="1:5">
      <c r="A41" s="1" t="s">
        <v>30</v>
      </c>
      <c r="B41" s="12">
        <v>21223</v>
      </c>
      <c r="C41" s="12">
        <v>14111</v>
      </c>
      <c r="D41" s="12">
        <v>11264</v>
      </c>
      <c r="E41" s="2">
        <v>12352</v>
      </c>
    </row>
    <row r="42" spans="1: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E42" s="35">
        <v>162819</v>
      </c>
    </row>
    <row r="43" spans="1:5">
      <c r="A43" t="s">
        <v>48</v>
      </c>
      <c r="B43" s="12"/>
      <c r="C43" s="12"/>
      <c r="D43" s="12"/>
    </row>
    <row r="44" spans="1:5">
      <c r="A44" s="1" t="s">
        <v>27</v>
      </c>
      <c r="B44" s="12">
        <v>120805</v>
      </c>
      <c r="C44" s="12">
        <v>127877</v>
      </c>
      <c r="D44" s="12">
        <v>100887</v>
      </c>
      <c r="E44" s="2">
        <v>105341</v>
      </c>
    </row>
    <row r="45" spans="1:5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>
      <c r="A46" s="1" t="s">
        <v>49</v>
      </c>
      <c r="B46" s="12">
        <v>54428</v>
      </c>
      <c r="C46" s="12">
        <v>48849</v>
      </c>
      <c r="D46" s="12">
        <v>42522</v>
      </c>
      <c r="E46" s="2">
        <v>32978</v>
      </c>
    </row>
    <row r="47" spans="1: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E47" s="2">
        <v>175697</v>
      </c>
    </row>
    <row r="48" spans="1:5" ht="15" thickBot="1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E48" s="35">
        <v>338516</v>
      </c>
    </row>
    <row r="49" spans="1:5" ht="15" thickTop="1"/>
    <row r="50" spans="1:5">
      <c r="A50" t="s">
        <v>34</v>
      </c>
    </row>
    <row r="51" spans="1:5">
      <c r="A51" s="1" t="s">
        <v>35</v>
      </c>
      <c r="B51" s="12">
        <v>64115</v>
      </c>
      <c r="C51" s="12">
        <v>54763</v>
      </c>
      <c r="D51" s="12">
        <v>42296</v>
      </c>
      <c r="E51" s="2">
        <v>46236</v>
      </c>
    </row>
    <row r="52" spans="1:5">
      <c r="A52" s="1" t="s">
        <v>36</v>
      </c>
      <c r="B52" s="12">
        <v>60845</v>
      </c>
      <c r="C52" s="12">
        <v>47493</v>
      </c>
      <c r="D52" s="12">
        <v>42684</v>
      </c>
      <c r="E52" s="2">
        <v>37720</v>
      </c>
    </row>
    <row r="53" spans="1:5">
      <c r="A53" s="1" t="s">
        <v>37</v>
      </c>
      <c r="B53" s="12">
        <v>7912</v>
      </c>
      <c r="C53" s="12">
        <v>7612</v>
      </c>
      <c r="D53" s="12">
        <v>6643</v>
      </c>
      <c r="E53" s="2">
        <v>5522</v>
      </c>
    </row>
    <row r="54" spans="1:5">
      <c r="A54" s="1" t="s">
        <v>38</v>
      </c>
      <c r="B54" s="12">
        <v>9982</v>
      </c>
      <c r="C54" s="12">
        <v>6000</v>
      </c>
      <c r="D54" s="12">
        <v>4996</v>
      </c>
      <c r="E54" s="2">
        <v>5980</v>
      </c>
    </row>
    <row r="55" spans="1:5">
      <c r="A55" s="1" t="s">
        <v>39</v>
      </c>
      <c r="B55" s="12">
        <v>11128</v>
      </c>
      <c r="C55" s="12">
        <v>9613</v>
      </c>
      <c r="D55" s="12">
        <v>8773</v>
      </c>
      <c r="E55" s="2">
        <v>10260</v>
      </c>
    </row>
    <row r="56" spans="1: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E56" s="35">
        <v>105718</v>
      </c>
    </row>
    <row r="57" spans="1:5">
      <c r="A57" t="s">
        <v>51</v>
      </c>
      <c r="B57" s="12"/>
      <c r="C57" s="12"/>
      <c r="D57" s="12"/>
    </row>
    <row r="58" spans="1:5">
      <c r="A58" s="1" t="s">
        <v>37</v>
      </c>
      <c r="B58" s="12"/>
      <c r="C58" s="12"/>
      <c r="D58" s="12"/>
    </row>
    <row r="59" spans="1:5">
      <c r="A59" s="1" t="s">
        <v>39</v>
      </c>
      <c r="B59" s="12">
        <v>98959</v>
      </c>
      <c r="C59" s="12">
        <v>109106</v>
      </c>
      <c r="D59" s="12">
        <v>98667</v>
      </c>
      <c r="E59" s="2">
        <v>91807</v>
      </c>
    </row>
    <row r="60" spans="1:5">
      <c r="A60" s="1" t="s">
        <v>52</v>
      </c>
      <c r="B60" s="12">
        <v>49142</v>
      </c>
      <c r="C60" s="12">
        <v>53325</v>
      </c>
      <c r="D60" s="12">
        <v>54490</v>
      </c>
      <c r="E60" s="2">
        <v>50503</v>
      </c>
    </row>
    <row r="61" spans="1: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E61" s="2">
        <v>142310</v>
      </c>
    </row>
    <row r="62" spans="1: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E62" s="35">
        <v>248028</v>
      </c>
    </row>
    <row r="63" spans="1:5">
      <c r="B63" s="12"/>
      <c r="C63" s="12"/>
      <c r="D63" s="12"/>
    </row>
    <row r="64" spans="1:5">
      <c r="A64" t="s">
        <v>42</v>
      </c>
      <c r="B64" s="12"/>
      <c r="C64" s="12"/>
      <c r="D64" s="12"/>
    </row>
    <row r="65" spans="1:5">
      <c r="A65" s="1" t="s">
        <v>54</v>
      </c>
      <c r="B65" s="12">
        <v>64849</v>
      </c>
      <c r="C65" s="12">
        <v>57365</v>
      </c>
      <c r="D65" s="12">
        <v>50779</v>
      </c>
      <c r="E65" s="2">
        <v>45174</v>
      </c>
    </row>
    <row r="66" spans="1:5">
      <c r="A66" s="1" t="s">
        <v>43</v>
      </c>
      <c r="B66" s="12">
        <v>-3068</v>
      </c>
      <c r="C66" s="12">
        <v>5562</v>
      </c>
      <c r="D66" s="12">
        <v>14966</v>
      </c>
      <c r="E66" s="2">
        <v>45898</v>
      </c>
    </row>
    <row r="67" spans="1:5">
      <c r="A67" s="1" t="s">
        <v>44</v>
      </c>
      <c r="B67" s="12">
        <v>-11109</v>
      </c>
      <c r="C67" s="12">
        <v>163</v>
      </c>
      <c r="D67" s="12">
        <v>-406</v>
      </c>
      <c r="E67" s="2">
        <v>-584</v>
      </c>
    </row>
    <row r="68" spans="1: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E68" s="35">
        <v>90488</v>
      </c>
    </row>
    <row r="69" spans="1:5" ht="15" thickBot="1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E69" s="35">
        <v>338516</v>
      </c>
    </row>
    <row r="70" spans="1:5" ht="15" thickTop="1"/>
    <row r="71" spans="1:5">
      <c r="A71" s="39" t="s">
        <v>55</v>
      </c>
      <c r="B71" s="39"/>
      <c r="C71" s="39"/>
      <c r="D71" s="39"/>
    </row>
    <row r="72" spans="1:5">
      <c r="B72" s="38" t="s">
        <v>23</v>
      </c>
      <c r="C72" s="38"/>
      <c r="D72" s="38"/>
    </row>
    <row r="73" spans="1:5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E73" s="7">
        <v>2019</v>
      </c>
    </row>
    <row r="75" spans="1:5">
      <c r="A75" s="7" t="s">
        <v>56</v>
      </c>
      <c r="B75" s="15"/>
      <c r="C75" s="15"/>
      <c r="D75" s="15"/>
    </row>
    <row r="76" spans="1: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E76" s="2">
        <v>55256</v>
      </c>
    </row>
    <row r="77" spans="1:5">
      <c r="A77" s="11" t="s">
        <v>18</v>
      </c>
      <c r="B77" s="15"/>
      <c r="C77" s="15"/>
      <c r="D77" s="15"/>
    </row>
    <row r="78" spans="1:5">
      <c r="A78" s="1" t="s">
        <v>58</v>
      </c>
      <c r="B78" s="12"/>
      <c r="C78" s="12"/>
      <c r="D78" s="12"/>
    </row>
    <row r="79" spans="1:5">
      <c r="A79" s="3" t="s">
        <v>59</v>
      </c>
      <c r="B79" s="12">
        <v>11104</v>
      </c>
      <c r="C79" s="12">
        <v>11284</v>
      </c>
      <c r="D79" s="12">
        <v>11056</v>
      </c>
      <c r="E79" s="2">
        <v>12547</v>
      </c>
    </row>
    <row r="80" spans="1:5">
      <c r="A80" s="3" t="s">
        <v>83</v>
      </c>
      <c r="B80" s="12">
        <v>9038</v>
      </c>
      <c r="C80" s="12">
        <v>7906</v>
      </c>
      <c r="D80" s="12">
        <v>6829</v>
      </c>
      <c r="E80" s="2">
        <v>6068</v>
      </c>
    </row>
    <row r="81" spans="1:5">
      <c r="A81" s="3" t="s">
        <v>60</v>
      </c>
      <c r="B81" s="12">
        <v>895</v>
      </c>
      <c r="C81" s="12">
        <v>-4774</v>
      </c>
      <c r="D81" s="12">
        <v>-215</v>
      </c>
      <c r="E81" s="2">
        <v>340</v>
      </c>
    </row>
    <row r="82" spans="1:5">
      <c r="A82" s="3" t="s">
        <v>61</v>
      </c>
      <c r="B82" s="12">
        <v>111</v>
      </c>
      <c r="C82" s="12">
        <v>-147</v>
      </c>
      <c r="D82" s="12">
        <v>-97</v>
      </c>
      <c r="E82" s="2">
        <v>652</v>
      </c>
    </row>
    <row r="83" spans="1:5">
      <c r="A83" t="s">
        <v>62</v>
      </c>
      <c r="B83" s="12"/>
      <c r="C83" s="12"/>
      <c r="D83" s="12"/>
    </row>
    <row r="84" spans="1:5">
      <c r="A84" s="1" t="s">
        <v>28</v>
      </c>
      <c r="B84" s="12">
        <v>-1823</v>
      </c>
      <c r="C84" s="12">
        <v>-10125</v>
      </c>
      <c r="D84" s="12">
        <v>6917</v>
      </c>
      <c r="E84" s="2">
        <v>245</v>
      </c>
    </row>
    <row r="85" spans="1:5">
      <c r="A85" s="1" t="s">
        <v>29</v>
      </c>
      <c r="B85" s="12">
        <v>1484</v>
      </c>
      <c r="C85" s="12">
        <v>-2642</v>
      </c>
      <c r="D85" s="12">
        <v>-127</v>
      </c>
      <c r="E85" s="2">
        <v>289</v>
      </c>
    </row>
    <row r="86" spans="1:5">
      <c r="A86" s="1" t="s">
        <v>47</v>
      </c>
      <c r="B86" s="12">
        <v>-7520</v>
      </c>
      <c r="C86" s="12">
        <v>-3903</v>
      </c>
      <c r="D86" s="12">
        <v>1553</v>
      </c>
      <c r="E86" s="2">
        <v>2931</v>
      </c>
    </row>
    <row r="87" spans="1:5">
      <c r="A87" s="1" t="s">
        <v>84</v>
      </c>
      <c r="B87" s="12">
        <v>-6499</v>
      </c>
      <c r="C87" s="12">
        <v>-8042</v>
      </c>
      <c r="D87" s="12">
        <v>-9588</v>
      </c>
      <c r="E87" s="2">
        <v>873</v>
      </c>
    </row>
    <row r="88" spans="1:5">
      <c r="A88" s="1" t="s">
        <v>35</v>
      </c>
      <c r="B88" s="12">
        <v>9448</v>
      </c>
      <c r="C88" s="12">
        <v>12326</v>
      </c>
      <c r="D88" s="12">
        <v>-4062</v>
      </c>
      <c r="E88" s="2">
        <v>1923</v>
      </c>
    </row>
    <row r="89" spans="1:5">
      <c r="A89" s="1" t="s">
        <v>37</v>
      </c>
      <c r="B89" s="12">
        <v>478</v>
      </c>
      <c r="C89" s="12">
        <v>1676</v>
      </c>
      <c r="D89" s="12">
        <v>2081</v>
      </c>
      <c r="E89" s="2">
        <v>625</v>
      </c>
    </row>
    <row r="90" spans="1:5">
      <c r="A90" s="1" t="s">
        <v>85</v>
      </c>
      <c r="B90" s="12">
        <v>5632</v>
      </c>
      <c r="C90" s="12">
        <v>5799</v>
      </c>
      <c r="D90" s="12">
        <v>8916</v>
      </c>
      <c r="E90" s="2">
        <v>4700</v>
      </c>
    </row>
    <row r="91" spans="1: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  <c r="E91" s="35">
        <v>69391</v>
      </c>
    </row>
    <row r="92" spans="1:5">
      <c r="A92" s="7" t="s">
        <v>64</v>
      </c>
      <c r="B92" s="12"/>
      <c r="C92" s="12"/>
      <c r="D92" s="12"/>
    </row>
    <row r="93" spans="1:5">
      <c r="A93" s="1" t="s">
        <v>65</v>
      </c>
      <c r="B93" s="12">
        <v>-76923</v>
      </c>
      <c r="C93" s="12">
        <v>-109558</v>
      </c>
      <c r="D93" s="12">
        <v>-114938</v>
      </c>
      <c r="E93" s="2">
        <v>39630</v>
      </c>
    </row>
    <row r="94" spans="1:5">
      <c r="A94" s="1" t="s">
        <v>66</v>
      </c>
      <c r="B94" s="12">
        <v>29917</v>
      </c>
      <c r="C94" s="12">
        <v>59023</v>
      </c>
      <c r="D94" s="12">
        <v>69918</v>
      </c>
      <c r="E94" s="2">
        <v>40102</v>
      </c>
    </row>
    <row r="95" spans="1:5">
      <c r="A95" s="1" t="s">
        <v>67</v>
      </c>
      <c r="B95" s="12">
        <v>37446</v>
      </c>
      <c r="C95" s="12">
        <v>47460</v>
      </c>
      <c r="D95" s="12">
        <v>50473</v>
      </c>
      <c r="E95" s="2">
        <v>56988</v>
      </c>
    </row>
    <row r="96" spans="1:5">
      <c r="A96" s="1" t="s">
        <v>68</v>
      </c>
      <c r="B96" s="12">
        <v>-10708</v>
      </c>
      <c r="C96" s="12">
        <v>-11085</v>
      </c>
      <c r="D96" s="12">
        <v>-7309</v>
      </c>
      <c r="E96" s="2">
        <v>10495</v>
      </c>
    </row>
    <row r="97" spans="1:5">
      <c r="A97" s="1" t="s">
        <v>69</v>
      </c>
      <c r="B97" s="12">
        <v>-306</v>
      </c>
      <c r="C97" s="12">
        <v>-33</v>
      </c>
      <c r="D97" s="12">
        <v>-1524</v>
      </c>
      <c r="E97" s="2">
        <v>624</v>
      </c>
    </row>
    <row r="98" spans="1:5">
      <c r="A98" s="1" t="s">
        <v>61</v>
      </c>
      <c r="B98" s="12">
        <v>-1780</v>
      </c>
      <c r="C98" s="12">
        <v>-352</v>
      </c>
      <c r="D98" s="12">
        <v>-909</v>
      </c>
      <c r="E98" s="2">
        <v>1001</v>
      </c>
    </row>
    <row r="99" spans="1: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E99" s="35">
        <v>45896</v>
      </c>
    </row>
    <row r="100" spans="1:5">
      <c r="A100" s="7" t="s">
        <v>71</v>
      </c>
      <c r="B100" s="12"/>
      <c r="C100" s="12"/>
      <c r="D100" s="12"/>
    </row>
    <row r="101" spans="1:5">
      <c r="A101" s="1" t="s">
        <v>86</v>
      </c>
      <c r="B101" s="12">
        <v>-6223</v>
      </c>
      <c r="C101" s="12">
        <v>-6556</v>
      </c>
      <c r="D101" s="12">
        <v>-3634</v>
      </c>
      <c r="E101" s="2">
        <v>2817</v>
      </c>
    </row>
    <row r="102" spans="1:5">
      <c r="A102" s="1" t="s">
        <v>72</v>
      </c>
      <c r="B102" s="12">
        <v>-14841</v>
      </c>
      <c r="C102" s="12">
        <v>-14467</v>
      </c>
      <c r="D102" s="12">
        <v>-14081</v>
      </c>
      <c r="E102" s="2">
        <v>14119</v>
      </c>
    </row>
    <row r="103" spans="1:5">
      <c r="A103" s="1" t="s">
        <v>73</v>
      </c>
      <c r="B103" s="12">
        <v>-89402</v>
      </c>
      <c r="C103" s="12">
        <v>-85971</v>
      </c>
      <c r="D103" s="12">
        <v>-72358</v>
      </c>
      <c r="E103" s="2">
        <v>66897</v>
      </c>
    </row>
    <row r="104" spans="1:5">
      <c r="A104" s="1" t="s">
        <v>74</v>
      </c>
      <c r="B104" s="12">
        <v>5465</v>
      </c>
      <c r="C104" s="12">
        <v>20393</v>
      </c>
      <c r="D104" s="12">
        <v>16091</v>
      </c>
      <c r="E104" s="2">
        <v>6963</v>
      </c>
    </row>
    <row r="105" spans="1:5">
      <c r="A105" s="1" t="s">
        <v>75</v>
      </c>
      <c r="B105" s="12">
        <v>-9543</v>
      </c>
      <c r="C105" s="12">
        <v>-8750</v>
      </c>
      <c r="D105" s="12">
        <v>-12629</v>
      </c>
      <c r="E105" s="2">
        <v>8805</v>
      </c>
    </row>
    <row r="106" spans="1:5">
      <c r="A106" s="1" t="s">
        <v>76</v>
      </c>
      <c r="B106" s="12">
        <v>3955</v>
      </c>
      <c r="C106" s="12">
        <v>1022</v>
      </c>
      <c r="D106" s="12">
        <v>-963</v>
      </c>
      <c r="E106" s="2">
        <v>5977</v>
      </c>
    </row>
    <row r="107" spans="1:5">
      <c r="A107" s="1" t="s">
        <v>61</v>
      </c>
      <c r="B107" s="12">
        <v>-160</v>
      </c>
      <c r="C107" s="12">
        <v>976</v>
      </c>
      <c r="D107" s="12">
        <v>754</v>
      </c>
    </row>
    <row r="108" spans="1: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  <c r="E108" s="35">
        <v>90976</v>
      </c>
    </row>
    <row r="109" spans="1: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  <c r="E109" s="35">
        <v>24311</v>
      </c>
    </row>
    <row r="110" spans="1:5" ht="15" thickBot="1">
      <c r="A110" s="9" t="s">
        <v>79</v>
      </c>
      <c r="B110" s="14">
        <v>24977</v>
      </c>
      <c r="C110" s="14">
        <v>35929</v>
      </c>
      <c r="D110" s="14">
        <v>39789</v>
      </c>
      <c r="E110" s="35">
        <v>50224</v>
      </c>
    </row>
    <row r="111" spans="1:5" ht="15" thickTop="1">
      <c r="B111" s="12"/>
      <c r="C111" s="12"/>
      <c r="D111" s="12"/>
    </row>
    <row r="112" spans="1:5">
      <c r="A112" t="s">
        <v>80</v>
      </c>
      <c r="B112" s="12"/>
      <c r="C112" s="12"/>
      <c r="D112" s="12"/>
    </row>
    <row r="113" spans="1:5">
      <c r="A113" t="s">
        <v>81</v>
      </c>
      <c r="B113" s="12">
        <v>19573</v>
      </c>
      <c r="C113" s="12">
        <v>25385</v>
      </c>
      <c r="D113" s="12">
        <v>9501</v>
      </c>
      <c r="E113" s="2">
        <v>10481000</v>
      </c>
    </row>
    <row r="114" spans="1:5">
      <c r="A114" t="s">
        <v>82</v>
      </c>
      <c r="B114" s="12">
        <v>2865</v>
      </c>
      <c r="C114" s="12">
        <v>2687</v>
      </c>
      <c r="D114" s="12">
        <v>3002</v>
      </c>
    </row>
    <row r="115" spans="1:5">
      <c r="A115" t="s">
        <v>155</v>
      </c>
      <c r="B115" s="2">
        <v>119103000</v>
      </c>
      <c r="C115" s="2">
        <v>109207000</v>
      </c>
      <c r="D115" t="s">
        <v>156</v>
      </c>
      <c r="E115" s="2">
        <v>65737000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G1" sqref="G1"/>
    </sheetView>
  </sheetViews>
  <sheetFormatPr defaultColWidth="8.77734375" defaultRowHeight="14.4"/>
  <cols>
    <col min="1" max="1" width="4.6640625" customWidth="1"/>
    <col min="2" max="2" width="44.77734375" customWidth="1"/>
    <col min="3" max="3" width="12.44140625" bestFit="1" customWidth="1"/>
    <col min="4" max="4" width="10.44140625" bestFit="1" customWidth="1"/>
    <col min="5" max="5" width="13" bestFit="1" customWidth="1"/>
    <col min="7" max="7" width="51.21875" style="40" customWidth="1"/>
  </cols>
  <sheetData>
    <row r="1" spans="1:10" ht="60" customHeight="1">
      <c r="A1" s="6"/>
      <c r="B1" s="20" t="s">
        <v>0</v>
      </c>
      <c r="C1" s="19"/>
      <c r="D1" s="19"/>
      <c r="E1" s="19"/>
      <c r="F1" s="19"/>
      <c r="G1" s="20" t="s">
        <v>168</v>
      </c>
      <c r="H1" s="19"/>
      <c r="I1" s="19"/>
      <c r="J1" s="19"/>
    </row>
    <row r="2" spans="1:10">
      <c r="C2" s="38" t="s">
        <v>23</v>
      </c>
      <c r="D2" s="38"/>
      <c r="E2" s="38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99</v>
      </c>
    </row>
    <row r="5" spans="1:10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>
      <c r="A6" s="18">
        <f t="shared" ref="A6:A13" si="0">+A5+0.1</f>
        <v>1.2000000000000002</v>
      </c>
      <c r="B6" s="1" t="s">
        <v>101</v>
      </c>
      <c r="C6" s="24">
        <f>('Financial Statements'!B36+'Financial Statements'!B37+'Financial Statements'!B38+'Financial Statements'!B40)/'Financial Statements'!B56</f>
        <v>0.70940759309529688</v>
      </c>
      <c r="D6" s="24">
        <f>('Financial Statements'!C36+'Financial Statements'!C37+'Financial Statements'!C38+'Financial Statements'!C40)/'Financial Statements'!C56</f>
        <v>0.90965962974474224</v>
      </c>
      <c r="E6" s="24">
        <f>('Financial Statements'!D36+'Financial Statements'!D37+'Financial Statements'!D38+'Financial Statements'!D40)/'Financial Statements'!D56</f>
        <v>1.2181949294064065</v>
      </c>
    </row>
    <row r="7" spans="1:10">
      <c r="A7" s="28">
        <f t="shared" si="0"/>
        <v>1.3000000000000003</v>
      </c>
      <c r="B7" s="29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s="25" customFormat="1">
      <c r="A8" s="28">
        <f t="shared" si="0"/>
        <v>1.4000000000000004</v>
      </c>
      <c r="B8" s="29" t="s">
        <v>103</v>
      </c>
      <c r="C8" s="37">
        <f>'Financial Statements'!B42/('Financial Statements'!B17/365)</f>
        <v>962.56354075372474</v>
      </c>
      <c r="D8" s="37">
        <f>'Financial Statements'!C42/('Financial Statements'!C17/365)</f>
        <v>1121.4058832911796</v>
      </c>
      <c r="E8" s="37">
        <f>'Financial Statements'!D42/('Financial Statements'!D17/365)</f>
        <v>1356.5543860556534</v>
      </c>
      <c r="G8" s="40" t="s">
        <v>158</v>
      </c>
    </row>
    <row r="9" spans="1:10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(AVERAGE('Financial Statements'!B39:'Financial Statements'!C39))/'Financial Statements'!C12*365</f>
        <v>9.8764443776674913</v>
      </c>
      <c r="E9" s="24">
        <f>(AVERAGE('Financial Statements'!C39:'Financial Statements'!D39))/'Financial Statements'!D12*365</f>
        <v>11.453137256058364</v>
      </c>
    </row>
    <row r="10" spans="1:10">
      <c r="A10" s="18">
        <f t="shared" si="0"/>
        <v>1.6000000000000005</v>
      </c>
      <c r="B10" s="1" t="s">
        <v>105</v>
      </c>
      <c r="C10" s="24">
        <f>('Financial Statements'!B51*365)/'Financial Statements'!B12</f>
        <v>104.68527730310539</v>
      </c>
      <c r="D10" s="24">
        <f>('Financial Statements'!C51*365)/'Financial Statements'!C12</f>
        <v>93.85107122231561</v>
      </c>
      <c r="E10" s="24">
        <f>('Financial Statements'!D51*365)/'Financial Statements'!D12</f>
        <v>91.048189715674184</v>
      </c>
    </row>
    <row r="11" spans="1:10">
      <c r="A11" s="18">
        <f t="shared" si="0"/>
        <v>1.7000000000000006</v>
      </c>
      <c r="B11" s="1" t="s">
        <v>106</v>
      </c>
      <c r="C11" s="24">
        <f>'Financial Statements'!B38*365/'Financial Statements'!B12</f>
        <v>46.018090236461397</v>
      </c>
      <c r="D11" s="24">
        <f>'Financial Statements'!C38*365/'Financial Statements'!C12</f>
        <v>45.034392739258429</v>
      </c>
      <c r="E11" s="24">
        <f>'Financial Statements'!D38*365/'Financial Statements'!D12</f>
        <v>34.700605688875257</v>
      </c>
      <c r="G11" s="40" t="s">
        <v>159</v>
      </c>
    </row>
    <row r="12" spans="1:10">
      <c r="A12" s="18">
        <f t="shared" si="0"/>
        <v>1.8000000000000007</v>
      </c>
      <c r="B12" s="1" t="s">
        <v>107</v>
      </c>
      <c r="C12">
        <f>('Financial Statements'!B38+'Financial Statements'!B39)-'Financial Statements'!B51</f>
        <v>-30985</v>
      </c>
      <c r="D12">
        <f>('Financial Statements'!C38+'Financial Statements'!C39)-'Financial Statements'!C51</f>
        <v>-21905</v>
      </c>
      <c r="E12" s="36">
        <f>('Financial Statements'!D38+'Financial Statements'!D39)-'Financial Statements'!D51</f>
        <v>-22115</v>
      </c>
      <c r="G12" s="40" t="s">
        <v>160</v>
      </c>
    </row>
    <row r="13" spans="1:10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>
      <c r="A15" s="18"/>
    </row>
    <row r="16" spans="1:10">
      <c r="A16" s="18">
        <f>+A4+1</f>
        <v>2</v>
      </c>
      <c r="B16" s="17" t="s">
        <v>110</v>
      </c>
    </row>
    <row r="17" spans="1:7">
      <c r="A17" s="18">
        <f>+A16+0.1</f>
        <v>2.1</v>
      </c>
      <c r="B17" s="1" t="s">
        <v>9</v>
      </c>
      <c r="C17" s="26">
        <f>'Financial Statements'!B18/'Financial Statements'!B8</f>
        <v>0.30288744395528594</v>
      </c>
      <c r="D17" s="26">
        <f>'Financial Statements'!C18/'Financial Statements'!C8</f>
        <v>0.29782377527561593</v>
      </c>
      <c r="E17" s="26">
        <f>'Financial Statements'!D18/'Financial Statements'!D8</f>
        <v>0.24147314354406862</v>
      </c>
      <c r="G17" s="40" t="s">
        <v>161</v>
      </c>
    </row>
    <row r="18" spans="1:7">
      <c r="A18" s="18">
        <f>+A17+0.1</f>
        <v>2.2000000000000002</v>
      </c>
      <c r="B18" s="1" t="s">
        <v>111</v>
      </c>
      <c r="C18" s="26">
        <f>C19/'Financial Statements'!B8</f>
        <v>0.30204043334482966</v>
      </c>
      <c r="D18" s="26">
        <f>D19/'Financial Statements'!C8</f>
        <v>0.29852904594373691</v>
      </c>
      <c r="E18" s="26">
        <f>E19/'Financial Statements'!D8</f>
        <v>0.24439830246070343</v>
      </c>
    </row>
    <row r="19" spans="1:7">
      <c r="A19" s="18"/>
      <c r="B19" s="3" t="s">
        <v>112</v>
      </c>
      <c r="C19" s="12">
        <f>'Financial Statements'!B20</f>
        <v>119103</v>
      </c>
      <c r="D19" s="12">
        <f>'Financial Statements'!C20</f>
        <v>109207</v>
      </c>
      <c r="E19" s="12">
        <f>'Financial Statements'!D20</f>
        <v>67091</v>
      </c>
      <c r="G19" s="40" t="s">
        <v>162</v>
      </c>
    </row>
    <row r="20" spans="1:7">
      <c r="A20" s="18">
        <f>+A18+0.1</f>
        <v>2.3000000000000003</v>
      </c>
      <c r="B20" s="1" t="s">
        <v>113</v>
      </c>
      <c r="C20" s="26">
        <f>C21/'Financial Statements'!B8</f>
        <v>0.30204043334482966</v>
      </c>
      <c r="D20" s="26">
        <f>D21/'Financial Statements'!C8</f>
        <v>0.29852904594373691</v>
      </c>
      <c r="E20" s="26">
        <f>E21/'Financial Statements'!D8</f>
        <v>0.24439830246070343</v>
      </c>
    </row>
    <row r="21" spans="1:7">
      <c r="A21" s="18"/>
      <c r="B21" s="3" t="s">
        <v>114</v>
      </c>
      <c r="C21" s="12">
        <f>'Financial Statements'!B20</f>
        <v>119103</v>
      </c>
      <c r="D21" s="12">
        <f>'Financial Statements'!C20</f>
        <v>109207</v>
      </c>
      <c r="E21" s="12">
        <f>'Financial Statements'!D20</f>
        <v>67091</v>
      </c>
    </row>
    <row r="22" spans="1:7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</row>
    <row r="23" spans="1:7">
      <c r="A23" s="18"/>
    </row>
    <row r="24" spans="1:7">
      <c r="A24" s="18">
        <f>+A16+1</f>
        <v>3</v>
      </c>
      <c r="B24" s="7" t="s">
        <v>116</v>
      </c>
    </row>
    <row r="25" spans="1:7">
      <c r="A25" s="18">
        <f>+A24+0.1</f>
        <v>3.1</v>
      </c>
      <c r="B25" s="1" t="s">
        <v>117</v>
      </c>
      <c r="C25" s="26">
        <f>('Financial Statements'!B54+'Financial Statements'!B55+'Financial Statements'!B59)/'Financial Statements'!B68</f>
        <v>2.3695334701610355</v>
      </c>
      <c r="D25" s="26">
        <f>('Financial Statements'!C54+'Financial Statements'!C55+'Financial Statements'!C59)/'Financial Statements'!C68</f>
        <v>1.9768426058012363</v>
      </c>
      <c r="E25" s="26">
        <f>('Financial Statements'!D54+'Financial Statements'!D55+'Financial Statements'!D59)/'Financial Statements'!D68</f>
        <v>1.7208099297509909</v>
      </c>
      <c r="G25" s="40" t="s">
        <v>163</v>
      </c>
    </row>
    <row r="26" spans="1:7">
      <c r="A26" s="18">
        <f t="shared" ref="A26:A30" si="1">+A25+0.1</f>
        <v>3.2</v>
      </c>
      <c r="B26" s="1" t="s">
        <v>118</v>
      </c>
      <c r="C26" s="26">
        <f>('Financial Statements'!B54+'Financial Statements'!B55+'Financial Statements'!B59)/'Financial Statements'!B48</f>
        <v>0.34037504783773442</v>
      </c>
      <c r="D26" s="26">
        <f>('Financial Statements'!C54+'Financial Statements'!C55+'Financial Statements'!C59)/'Financial Statements'!C48</f>
        <v>0.35532276169366556</v>
      </c>
      <c r="E26" s="26">
        <f>('Financial Statements'!D54+'Financial Statements'!D55+'Financial Statements'!D59)/'Financial Statements'!D48</f>
        <v>0.34714469199229364</v>
      </c>
      <c r="G26" s="40" t="s">
        <v>163</v>
      </c>
    </row>
    <row r="27" spans="1:7">
      <c r="A27" s="18">
        <f t="shared" si="1"/>
        <v>3.3000000000000003</v>
      </c>
      <c r="B27" s="1" t="s">
        <v>119</v>
      </c>
      <c r="C27" s="26">
        <f>'Financial Statements'!B59/('Financial Statements'!B54+'Financial Statements'!B55+'Financial Statements'!B59+'Financial Statements'!B68)</f>
        <v>0.57958545399171846</v>
      </c>
      <c r="D27" s="26">
        <f>'Financial Statements'!C59/('Financial Statements'!C54+'Financial Statements'!C55+'Financial Statements'!C59+'Financial Statements'!C68)</f>
        <v>0.58094127544473373</v>
      </c>
      <c r="E27" s="26">
        <f>'Financial Statements'!D59/('Financial Statements'!D54+'Financial Statements'!D55+'Financial Statements'!D59+'Financial Statements'!D68)</f>
        <v>0.55501054703979746</v>
      </c>
      <c r="G27" s="40" t="s">
        <v>163</v>
      </c>
    </row>
    <row r="28" spans="1:7">
      <c r="A28" s="18">
        <f t="shared" si="1"/>
        <v>3.4000000000000004</v>
      </c>
      <c r="B28" s="1" t="s">
        <v>120</v>
      </c>
      <c r="C28" s="32">
        <f>C21/'Financial Statements'!B54</f>
        <v>11.931777198958125</v>
      </c>
      <c r="D28" s="32">
        <f>D21/'Financial Statements'!C54</f>
        <v>18.201166666666666</v>
      </c>
      <c r="E28" s="32">
        <f>E21/'Financial Statements'!D54</f>
        <v>13.428943154523619</v>
      </c>
      <c r="G28" s="40" t="s">
        <v>164</v>
      </c>
    </row>
    <row r="29" spans="1:7">
      <c r="A29" s="18">
        <f t="shared" si="1"/>
        <v>3.5000000000000004</v>
      </c>
      <c r="B29" s="1" t="s">
        <v>121</v>
      </c>
      <c r="C29" s="23">
        <f>'Financial Statements'!B18/'Financial Statements'!B56</f>
        <v>0.7756555961086361</v>
      </c>
      <c r="D29" s="23">
        <f>'Financial Statements'!C18/'Financial Statements'!C56</f>
        <v>0.86825097026641485</v>
      </c>
      <c r="E29" s="23">
        <f>'Financial Statements'!D18/'Financial Statements'!D56</f>
        <v>0.6289661454379839</v>
      </c>
      <c r="G29" s="40" t="s">
        <v>165</v>
      </c>
    </row>
    <row r="30" spans="1:7">
      <c r="A30" s="18">
        <f t="shared" si="1"/>
        <v>3.6000000000000005</v>
      </c>
      <c r="B30" s="1" t="s">
        <v>122</v>
      </c>
      <c r="C30">
        <f>C31/15800000000</f>
        <v>1.303259493670886E-5</v>
      </c>
      <c r="D30">
        <f t="shared" ref="D30:E30" si="2">D31/15800000000</f>
        <v>1.1717911392405064E-5</v>
      </c>
      <c r="E30">
        <f t="shared" si="2"/>
        <v>9.538607594936709E-6</v>
      </c>
    </row>
    <row r="31" spans="1:7" ht="86.4">
      <c r="A31" s="18"/>
      <c r="B31" s="3" t="s">
        <v>123</v>
      </c>
      <c r="C31">
        <f>'Financial Statements'!B91-('Financial Statements'!B45-'Financial Statements'!C45)+('Financial Statements'!B55+'Financial Statements'!B59-('Financial Statements'!B36))</f>
        <v>205915</v>
      </c>
      <c r="D31">
        <f>'Financial Statements'!C91-('Financial Statements'!C45-'Financial Statements'!D45)+('Financial Statements'!C55+'Financial Statements'!C59-('Financial Statements'!C36))</f>
        <v>185143</v>
      </c>
      <c r="E31">
        <f>'Financial Statements'!D91-('Financial Statements'!D45-'Financial Statements'!E45)+('Financial Statements'!D55+'Financial Statements'!D59-('Financial Statements'!D36))</f>
        <v>150710</v>
      </c>
      <c r="G31" s="41" t="s">
        <v>167</v>
      </c>
    </row>
    <row r="32" spans="1:7">
      <c r="A32" s="18"/>
    </row>
    <row r="33" spans="1:7">
      <c r="A33" s="18">
        <f>+A24+1</f>
        <v>4</v>
      </c>
      <c r="B33" s="17" t="s">
        <v>124</v>
      </c>
    </row>
    <row r="34" spans="1:7">
      <c r="A34" s="18">
        <f>+A33+0.1</f>
        <v>4.0999999999999996</v>
      </c>
      <c r="B34" s="1" t="s">
        <v>125</v>
      </c>
      <c r="C34" s="23">
        <f>'Financial Statements'!B8/'Financial Statements'!B48</f>
        <v>1.1178523337727317</v>
      </c>
      <c r="D34" s="23">
        <f>'Financial Statements'!C8/AVERAGE('Financial Statements'!B48:'Financial Statements'!C48)</f>
        <v>1.0396116841466585</v>
      </c>
      <c r="E34" s="23">
        <f>'Financial Statements'!D8/AVERAGE('Financial Statements'!C48:'Financial Statements'!D48)</f>
        <v>0.81351034983478787</v>
      </c>
    </row>
    <row r="35" spans="1:7">
      <c r="A35" s="18">
        <f t="shared" ref="A35:A37" si="3">+A34+0.1</f>
        <v>4.1999999999999993</v>
      </c>
      <c r="B35" s="1" t="s">
        <v>126</v>
      </c>
      <c r="C35" s="23">
        <f>'Financial Statements'!B8/('Financial Statements'!B45)</f>
        <v>9.3626801529073767</v>
      </c>
      <c r="D35" s="23">
        <f>'Financial Statements'!C8/AVERAGE('Financial Statements'!B45:'Financial Statements'!C45)</f>
        <v>8.970830216903515</v>
      </c>
      <c r="E35" s="23">
        <f>'Financial Statements'!D8/AVERAGE('Financial Statements'!C45:'Financial Statements'!D45)</f>
        <v>7.2045508227698605</v>
      </c>
    </row>
    <row r="36" spans="1:7">
      <c r="A36" s="18">
        <f t="shared" si="3"/>
        <v>4.2999999999999989</v>
      </c>
      <c r="B36" s="1" t="s">
        <v>127</v>
      </c>
      <c r="C36" s="23">
        <f>'Financial Statements'!B12/'Financial Statements'!B39</f>
        <v>45.197331176708452</v>
      </c>
      <c r="D36" s="23">
        <f>'Financial Statements'!C12/AVERAGE('Financial Statements'!B39:'Financial Statements'!C39)</f>
        <v>36.95661981606802</v>
      </c>
      <c r="E36" s="23">
        <f>'Financial Statements'!D12/AVERAGE('Financial Statements'!C39:'Financial Statements'!D39)</f>
        <v>31.868997274692227</v>
      </c>
    </row>
    <row r="37" spans="1:7">
      <c r="A37" s="18">
        <f t="shared" si="3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Statements'!C22/AVERAGE('Financial Statements'!B48:'Financial Statements'!C48)</f>
        <v>0.26907014779249089</v>
      </c>
      <c r="E37" s="26">
        <f>'Financial Statements'!D22/AVERAGE('Financial Statements'!C48:'Financial Statements'!D48)</f>
        <v>0.17013439227133312</v>
      </c>
    </row>
    <row r="38" spans="1:7">
      <c r="A38" s="18"/>
    </row>
    <row r="39" spans="1:7">
      <c r="A39" s="18">
        <f>+A33+1</f>
        <v>5</v>
      </c>
      <c r="B39" s="17" t="s">
        <v>129</v>
      </c>
    </row>
    <row r="40" spans="1:7">
      <c r="A40" s="18">
        <f>+A39+0.1</f>
        <v>5.0999999999999996</v>
      </c>
      <c r="B40" s="1" t="s">
        <v>130</v>
      </c>
      <c r="C40" s="32">
        <f>'Financial Statements'!B30/'Financial Statements'!B25</f>
        <v>22.618657937806869</v>
      </c>
      <c r="D40" s="32">
        <f>'Financial Statements'!C30/'Financial Statements'!C25</f>
        <v>25.222816399286987</v>
      </c>
      <c r="E40" s="32">
        <f>'Financial Statements'!D30/'Financial Statements'!D25</f>
        <v>35.307926829268297</v>
      </c>
    </row>
    <row r="41" spans="1:7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7">
      <c r="A42" s="18">
        <f t="shared" si="4"/>
        <v>5.2999999999999989</v>
      </c>
      <c r="B42" s="1" t="s">
        <v>132</v>
      </c>
      <c r="C42" s="32">
        <f>'Financial Statements'!B30/('Financial Statements'!B68/('Financial Statements'!B28/1000))</f>
        <v>44.526132495263646</v>
      </c>
      <c r="D42" s="32">
        <f>'Financial Statements'!C30/('Financial Statements'!C68/('Financial Statements'!C28/1000))</f>
        <v>37.82510760025361</v>
      </c>
      <c r="E42" s="32">
        <f>'Financial Statements'!D30/('Financial Statements'!D68/('Financial Statements'!D28/1000))</f>
        <v>31.067853247524447</v>
      </c>
    </row>
    <row r="43" spans="1:7">
      <c r="A43" s="18">
        <f t="shared" si="4"/>
        <v>5.3999999999999986</v>
      </c>
      <c r="B43" s="3" t="s">
        <v>133</v>
      </c>
      <c r="C43" s="32">
        <f>'Financial Statements'!B68/('Financial Statements'!B28/1000)</f>
        <v>3.1037952827971451</v>
      </c>
      <c r="D43" s="32">
        <f>'Financial Statements'!C68/('Financial Statements'!C28/1000)</f>
        <v>3.740901453484597</v>
      </c>
      <c r="E43" s="32">
        <f>'Financial Statements'!D68/('Financial Statements'!D28/1000)</f>
        <v>3.7276473233382479</v>
      </c>
    </row>
    <row r="44" spans="1:7">
      <c r="A44" s="18">
        <f t="shared" si="4"/>
        <v>5.4999999999999982</v>
      </c>
      <c r="B44" s="1" t="s">
        <v>134</v>
      </c>
      <c r="C44" s="23">
        <f>-'Financial Statements'!B102/'Financial Statements'!B22</f>
        <v>0.14870294480125848</v>
      </c>
      <c r="D44" s="23">
        <f>-'Financial Statements'!C102/'Financial Statements'!C22</f>
        <v>0.15279890156316012</v>
      </c>
      <c r="E44" s="23">
        <f>-'Financial Statements'!D102/'Financial Statements'!D22</f>
        <v>0.24526658654264863</v>
      </c>
    </row>
    <row r="45" spans="1:7">
      <c r="A45" s="18"/>
      <c r="B45" s="3" t="s">
        <v>135</v>
      </c>
      <c r="C45" s="23">
        <f>-'Financial Statements'!B102/('Financial Statements'!B28/1000)</f>
        <v>0.90905087211857494</v>
      </c>
      <c r="D45" s="23">
        <f>-'Financial Statements'!C102/('Financial Statements'!C28/1000)</f>
        <v>0.85781615672153533</v>
      </c>
      <c r="E45" s="23">
        <f>-'Financial Statements'!D102/('Financial Statements'!D28/1000)</f>
        <v>0.80333341434558025</v>
      </c>
    </row>
    <row r="46" spans="1:7">
      <c r="A46" s="18">
        <f>+A44+0.1</f>
        <v>5.5999999999999979</v>
      </c>
      <c r="B46" s="1" t="s">
        <v>136</v>
      </c>
      <c r="C46" s="26">
        <f>(-'Financial Statements'!B102/('Financial Statements'!B28/1000))/'Financial Statements'!B30</f>
        <v>6.5777921282096597E-3</v>
      </c>
      <c r="D46" s="26">
        <f>(-'Financial Statements'!C102/('Financial Statements'!C28/1000))/'Financial Statements'!C30</f>
        <v>6.0623049944984828E-3</v>
      </c>
      <c r="E46" s="26">
        <f>(-'Financial Statements'!D102/('Financial Statements'!D28/1000))/'Financial Statements'!D30</f>
        <v>6.9366498087002869E-3</v>
      </c>
    </row>
    <row r="47" spans="1:7">
      <c r="A47" s="18">
        <f t="shared" ref="A47:A50" si="5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Statements'!C22/AVERAGE('Financial Statements'!B68:'Financial Statements'!C68)</f>
        <v>1.6645276981768957</v>
      </c>
      <c r="E47" s="26">
        <f>'Financial Statements'!D22/AVERAGE('Financial Statements'!C68:'Financial Statements'!D68)</f>
        <v>0.89405040917549772</v>
      </c>
    </row>
    <row r="48" spans="1:7">
      <c r="A48" s="18">
        <f t="shared" si="5"/>
        <v>5.6999999999999975</v>
      </c>
      <c r="B48" s="1" t="s">
        <v>138</v>
      </c>
      <c r="C48" s="26">
        <f>'Financial Statements'!B20/('Financial Statements'!B55+'Financial Statements'!B54+'Financial Statements'!B59+'Financial Statements'!B68)</f>
        <v>0.69756531823053636</v>
      </c>
      <c r="D48" s="26">
        <f>'Financial Statements'!C20/('Financial Statements'!C55+'Financial Statements'!C54+'Financial Statements'!C59+'Financial Statements'!C68)</f>
        <v>0.58147905584929371</v>
      </c>
      <c r="E48" s="26">
        <f>'Financial Statements'!D20/('Financial Statements'!D55+'Financial Statements'!D54+'Financial Statements'!D59+'Financial Statements'!D68)</f>
        <v>0.37739277176205877</v>
      </c>
      <c r="G48" s="40" t="s">
        <v>163</v>
      </c>
    </row>
    <row r="49" spans="1:7">
      <c r="A49" s="18">
        <f t="shared" si="5"/>
        <v>0.2</v>
      </c>
      <c r="B49" s="1" t="s">
        <v>128</v>
      </c>
      <c r="C49" s="27">
        <f>C37</f>
        <v>0.28292440929256851</v>
      </c>
      <c r="D49" s="27">
        <f t="shared" ref="D49:E49" si="6">D37</f>
        <v>0.26907014779249089</v>
      </c>
      <c r="E49" s="27">
        <f t="shared" si="6"/>
        <v>0.17013439227133312</v>
      </c>
    </row>
    <row r="50" spans="1:7">
      <c r="A50" s="18">
        <f t="shared" si="5"/>
        <v>5.7999999999999972</v>
      </c>
      <c r="B50" s="1" t="s">
        <v>139</v>
      </c>
      <c r="C50" s="32">
        <f>C51/'Financial Statements'!B20</f>
        <v>19.753080827519039</v>
      </c>
      <c r="D50" s="32">
        <f>D51/'Financial Statements'!C20</f>
        <v>22.674050550788866</v>
      </c>
      <c r="E50" s="32">
        <f>E51/'Financial Statements'!D20</f>
        <v>31.365793673369009</v>
      </c>
    </row>
    <row r="51" spans="1:7">
      <c r="A51" s="18"/>
      <c r="B51" s="3" t="s">
        <v>140</v>
      </c>
      <c r="C51" s="33">
        <f>(('Financial Statements'!B28*1000)*'Financial Statements'!B30/1000000)+'Financial Statements'!B54+'Financial Statements'!B55+'Financial Statements'!B59-'Financial Statements'!B36</f>
        <v>2352651.1858000001</v>
      </c>
      <c r="D51" s="33">
        <f>(('Financial Statements'!C28*1000)*'Financial Statements'!C30/1000000)+'Financial Statements'!C54+'Financial Statements'!C55+'Financial Statements'!C59-'Financial Statements'!C36</f>
        <v>2476165.0384999998</v>
      </c>
      <c r="E51" s="33">
        <f>(('Financial Statements'!D28*1000)*'Financial Statements'!D30/1000000)+'Financial Statements'!D54+'Financial Statements'!D55+'Financial Statements'!D59-'Financial Statements'!D36</f>
        <v>2104362.4633400002</v>
      </c>
      <c r="G51" s="40" t="s">
        <v>163</v>
      </c>
    </row>
    <row r="53" spans="1:7">
      <c r="G53" s="42"/>
    </row>
    <row r="56" spans="1:7">
      <c r="B56" s="34" t="s">
        <v>151</v>
      </c>
      <c r="C56" s="7">
        <v>2022</v>
      </c>
      <c r="D56" s="7">
        <v>2021</v>
      </c>
      <c r="E56" s="7">
        <v>2020</v>
      </c>
    </row>
    <row r="57" spans="1:7">
      <c r="B57" s="11" t="s">
        <v>145</v>
      </c>
    </row>
    <row r="58" spans="1:7">
      <c r="B58" t="s">
        <v>4</v>
      </c>
      <c r="C58" s="26">
        <f>'Financial Statements'!B6/'Financial Statements'!C6-1</f>
        <v>6.3239764351428418E-2</v>
      </c>
      <c r="D58" s="26">
        <f>'Financial Statements'!C6/'Financial Statements'!D6-1</f>
        <v>0.34720743656765429</v>
      </c>
      <c r="E58" s="26">
        <f>'Financial Statements'!D6/'Financial Statements'!E6-1</f>
        <v>3.2092312151970948E-2</v>
      </c>
    </row>
    <row r="59" spans="1:7">
      <c r="B59" t="s">
        <v>5</v>
      </c>
      <c r="C59" s="26">
        <f>'Financial Statements'!B7/'Financial Statements'!C7-1</f>
        <v>0.14181951041286078</v>
      </c>
      <c r="D59" s="26">
        <f>'Financial Statements'!C7/'Financial Statements'!D7-1</f>
        <v>0.27259708376729663</v>
      </c>
      <c r="E59" s="26">
        <f>'Financial Statements'!D7/'Financial Statements'!E7-1</f>
        <v>0.16152167807997242</v>
      </c>
    </row>
    <row r="60" spans="1:7">
      <c r="B60" t="s">
        <v>6</v>
      </c>
      <c r="C60" s="26">
        <f>'Financial Statements'!B8/'Financial Statements'!C8-1</f>
        <v>7.7937876041846099E-2</v>
      </c>
      <c r="D60" s="26">
        <f>'Financial Statements'!C8/'Financial Statements'!D8-1</f>
        <v>0.33259384733074704</v>
      </c>
      <c r="E60" s="26">
        <f>'Financial Statements'!D8/'Financial Statements'!E8-1</f>
        <v>5.5120803769784787E-2</v>
      </c>
    </row>
    <row r="61" spans="1:7">
      <c r="B61" s="11" t="s">
        <v>89</v>
      </c>
    </row>
    <row r="62" spans="1:7">
      <c r="B62" t="s">
        <v>14</v>
      </c>
      <c r="C62" s="26">
        <f>'Financial Statements'!B18/'Financial Statements'!C18-1</f>
        <v>9.6265225013538513E-2</v>
      </c>
      <c r="D62" s="26">
        <f>'Financial Statements'!C18/'Financial Statements'!D18-1</f>
        <v>0.64357048032826447</v>
      </c>
      <c r="E62" s="26">
        <f>'Financial Statements'!D18/'Financial Statements'!E18-1</f>
        <v>3.6884091975598388E-2</v>
      </c>
    </row>
    <row r="63" spans="1:7">
      <c r="B63" t="s">
        <v>152</v>
      </c>
      <c r="C63" s="26">
        <f>'Financial Statements'!B20/'Financial Statements'!C20-1</f>
        <v>9.0616901846951148E-2</v>
      </c>
      <c r="D63" s="26">
        <f>'Financial Statements'!C20/'Financial Statements'!D20-1</f>
        <v>0.62774440685039723</v>
      </c>
      <c r="E63" s="26">
        <f>'Financial Statements'!D20/'Financial Statements'!E20-1</f>
        <v>2.059722834933142E-2</v>
      </c>
    </row>
    <row r="64" spans="1:7">
      <c r="B64" s="11" t="s">
        <v>90</v>
      </c>
    </row>
    <row r="65" spans="2:5">
      <c r="B65" t="s">
        <v>11</v>
      </c>
      <c r="C65" s="26">
        <f>'Financial Statements'!B15/'Financial Statements'!C15-1</f>
        <v>0.19791001186456136</v>
      </c>
      <c r="D65" s="26">
        <f>'Financial Statements'!C15/'Financial Statements'!D15-1</f>
        <v>0.16862201365187723</v>
      </c>
      <c r="E65" s="26">
        <f>'Financial Statements'!D15/'Financial Statements'!E15-1</f>
        <v>0.15631744465684161</v>
      </c>
    </row>
    <row r="66" spans="2:5">
      <c r="B66" t="s">
        <v>12</v>
      </c>
      <c r="C66" s="26">
        <f>'Financial Statements'!B16/'Financial Statements'!C16-1</f>
        <v>0.14203795567287125</v>
      </c>
      <c r="D66" s="26">
        <f>'Financial Statements'!C16/'Financial Statements'!D16-1</f>
        <v>0.10328379192608961</v>
      </c>
      <c r="E66" s="26">
        <f>'Financial Statements'!D16/'Financial Statements'!E16-1</f>
        <v>9.1586736092080123E-2</v>
      </c>
    </row>
    <row r="67" spans="2:5">
      <c r="B67" s="11" t="s">
        <v>91</v>
      </c>
    </row>
    <row r="68" spans="2:5">
      <c r="B68" t="s">
        <v>33</v>
      </c>
      <c r="C68" s="26">
        <f>'Financial Statements'!B48/'Financial Statements'!C48-1</f>
        <v>4.994273536902849E-3</v>
      </c>
      <c r="D68" s="26">
        <f>'Financial Statements'!C48/'Financial Statements'!D48-1</f>
        <v>8.3714123400681739E-2</v>
      </c>
      <c r="E68" s="26">
        <f>'Financial Statements'!D48/'Financial Statements'!E48-1</f>
        <v>-4.3212137683300011E-2</v>
      </c>
    </row>
    <row r="69" spans="2:5">
      <c r="B69" t="s">
        <v>41</v>
      </c>
      <c r="C69" s="26">
        <f>'Financial Statements'!B62/'Financial Statements'!C62-1</f>
        <v>4.9219900525160565E-2</v>
      </c>
      <c r="D69" s="26">
        <f>'Financial Statements'!C62/'Financial Statements'!D62-1</f>
        <v>0.11356841449783217</v>
      </c>
      <c r="E69" s="26">
        <f>'Financial Statements'!D62/'Financial Statements'!E62-1</f>
        <v>4.2418597900237165E-2</v>
      </c>
    </row>
    <row r="70" spans="2:5">
      <c r="B70" t="s">
        <v>45</v>
      </c>
      <c r="C70" s="26">
        <f>'Financial Statements'!B68/'Financial Statements'!C68-1</f>
        <v>-0.19682992550324929</v>
      </c>
      <c r="D70" s="26">
        <f>'Financial Statements'!C68/'Financial Statements'!D68-1</f>
        <v>-3.4420483937617652E-2</v>
      </c>
      <c r="E70" s="26">
        <f>'Financial Statements'!D68/'Financial Statements'!E68-1</f>
        <v>-0.27792635487578465</v>
      </c>
    </row>
    <row r="73" spans="2:5">
      <c r="B73" s="34" t="s">
        <v>153</v>
      </c>
    </row>
    <row r="74" spans="2:5">
      <c r="B74" t="s">
        <v>146</v>
      </c>
      <c r="C74" s="26">
        <f>'Financial Statements'!B12/'Financial Statements'!B8</f>
        <v>0.56690369438639909</v>
      </c>
      <c r="D74" s="26">
        <f>'Financial Statements'!C12/'Financial Statements'!C8</f>
        <v>0.58220640374832222</v>
      </c>
      <c r="E74" s="26">
        <f>'Financial Statements'!D12/'Financial Statements'!D8</f>
        <v>0.61766752272189129</v>
      </c>
    </row>
    <row r="75" spans="2:5">
      <c r="B75" t="s">
        <v>89</v>
      </c>
      <c r="C75" s="26">
        <f>'Financial Statements'!B13/'Financial Statements'!B8</f>
        <v>0.43309630561360085</v>
      </c>
      <c r="D75" s="26">
        <f>'Financial Statements'!C13/'Financial Statements'!C8</f>
        <v>0.41779359625167778</v>
      </c>
      <c r="E75" s="26">
        <f>'Financial Statements'!D13/'Financial Statements'!D8</f>
        <v>0.38233247727810865</v>
      </c>
    </row>
    <row r="76" spans="2:5">
      <c r="B76" t="s">
        <v>90</v>
      </c>
      <c r="C76" s="26">
        <f>'Financial Statements'!B17/'Financial Statements'!B8</f>
        <v>0.13020886165831491</v>
      </c>
      <c r="D76" s="26">
        <f>'Financial Statements'!C17/'Financial Statements'!C8</f>
        <v>0.11996982097606181</v>
      </c>
      <c r="E76" s="26">
        <f>'Financial Statements'!D17/'Financial Statements'!D8</f>
        <v>0.14085933373404003</v>
      </c>
    </row>
    <row r="77" spans="2:5">
      <c r="B77" t="s">
        <v>14</v>
      </c>
      <c r="C77" s="26">
        <f>'Financial Statements'!B18/'Financial Statements'!B8</f>
        <v>0.30288744395528594</v>
      </c>
      <c r="D77" s="26">
        <f>'Financial Statements'!C18/'Financial Statements'!C8</f>
        <v>0.29782377527561593</v>
      </c>
      <c r="E77" s="26">
        <f>'Financial Statements'!D18/'Financial Statements'!D8</f>
        <v>0.24147314354406862</v>
      </c>
    </row>
    <row r="78" spans="2:5">
      <c r="B78" t="s">
        <v>93</v>
      </c>
      <c r="C78" s="26">
        <f>'Financial Statements'!B22/'Financial Statements'!B8</f>
        <v>0.25309640705199732</v>
      </c>
      <c r="D78" s="26">
        <f>'Financial Statements'!C22/'Financial Statements'!C8</f>
        <v>0.25881793355694238</v>
      </c>
      <c r="E78" s="26">
        <f>'Financial Statements'!D22/'Financial Statements'!D8</f>
        <v>0.20913611278072236</v>
      </c>
    </row>
    <row r="81" spans="2:7">
      <c r="B81" s="34" t="s">
        <v>154</v>
      </c>
    </row>
    <row r="82" spans="2:7">
      <c r="B82" t="s">
        <v>94</v>
      </c>
      <c r="C82" s="27">
        <v>0.16200000000000001</v>
      </c>
      <c r="D82" s="27" t="s">
        <v>157</v>
      </c>
      <c r="E82" s="27">
        <v>0.14399999999999999</v>
      </c>
      <c r="G82" s="40" t="s">
        <v>166</v>
      </c>
    </row>
    <row r="83" spans="2:7">
      <c r="B83" t="s">
        <v>95</v>
      </c>
      <c r="C83" s="26">
        <f>-'Financial Statements'!B96/'Financial Statements'!B8</f>
        <v>2.7155058732831552E-2</v>
      </c>
      <c r="D83" s="26">
        <f>-'Financial Statements'!C96/'Financial Statements'!C8</f>
        <v>3.0302036264033657E-2</v>
      </c>
      <c r="E83" s="26">
        <f>-'Financial Statements'!D96/'Financial Statements'!D8</f>
        <v>2.6625138881299748E-2</v>
      </c>
    </row>
    <row r="84" spans="2:7">
      <c r="B84" t="s">
        <v>96</v>
      </c>
      <c r="C84" s="26">
        <f>-'Financial Statements'!B96/'Financial Statements'!B45</f>
        <v>0.25424412944891611</v>
      </c>
      <c r="D84" s="26">
        <f>-'Financial Statements'!C96/'Financial Statements'!C45</f>
        <v>0.28105983772819471</v>
      </c>
      <c r="E84" s="26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Dell</cp:lastModifiedBy>
  <dcterms:created xsi:type="dcterms:W3CDTF">2020-05-18T16:32:37Z</dcterms:created>
  <dcterms:modified xsi:type="dcterms:W3CDTF">2023-06-12T16:37:36Z</dcterms:modified>
</cp:coreProperties>
</file>