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yoos\Downloads\"/>
    </mc:Choice>
  </mc:AlternateContent>
  <xr:revisionPtr revIDLastSave="0" documentId="8_{DABAF379-4117-4BF8-B979-A3DC84871259}" xr6:coauthVersionLast="47" xr6:coauthVersionMax="47" xr10:uidLastSave="{00000000-0000-0000-0000-000000000000}"/>
  <bookViews>
    <workbookView xWindow="-108" yWindow="-108" windowWidth="23256" windowHeight="13896" activeTab="2" xr2:uid="{00000000-000D-0000-FFFF-FFFF00000000}"/>
  </bookViews>
  <sheets>
    <sheet name="Instructions" sheetId="1" r:id="rId1"/>
    <sheet name="Financial Statements" sheetId="2" r:id="rId2"/>
    <sheet name="List of Ratios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9" i="3" l="1"/>
  <c r="E49" i="3"/>
  <c r="C49" i="3"/>
  <c r="D48" i="3"/>
  <c r="E48" i="3"/>
  <c r="C48" i="3"/>
  <c r="D47" i="3"/>
  <c r="E47" i="3"/>
  <c r="C47" i="3"/>
  <c r="E42" i="3"/>
  <c r="D42" i="3"/>
  <c r="C42" i="3"/>
  <c r="D43" i="3"/>
  <c r="E43" i="3"/>
  <c r="C43" i="3"/>
  <c r="E40" i="3"/>
  <c r="D40" i="3"/>
  <c r="C40" i="3"/>
  <c r="D41" i="3"/>
  <c r="E41" i="3"/>
  <c r="C41" i="3"/>
  <c r="D37" i="3"/>
  <c r="E37" i="3"/>
  <c r="C37" i="3"/>
  <c r="D36" i="3"/>
  <c r="E36" i="3"/>
  <c r="C36" i="3"/>
  <c r="D35" i="3"/>
  <c r="E35" i="3"/>
  <c r="C35" i="3"/>
  <c r="D34" i="3"/>
  <c r="E34" i="3"/>
  <c r="C34" i="3"/>
  <c r="D31" i="3"/>
  <c r="E31" i="3"/>
  <c r="C31" i="3"/>
  <c r="C30" i="3" s="1"/>
  <c r="D30" i="3"/>
  <c r="E30" i="3"/>
  <c r="D26" i="3"/>
  <c r="E26" i="3"/>
  <c r="C26" i="3"/>
  <c r="D27" i="3"/>
  <c r="E27" i="3"/>
  <c r="C27" i="3"/>
  <c r="D29" i="3"/>
  <c r="E29" i="3"/>
  <c r="C29" i="3"/>
  <c r="D25" i="3" l="1"/>
  <c r="E25" i="3"/>
  <c r="C25" i="3"/>
  <c r="E22" i="3"/>
  <c r="D22" i="3"/>
  <c r="C22" i="3"/>
  <c r="D21" i="3"/>
  <c r="D20" i="3" s="1"/>
  <c r="E21" i="3"/>
  <c r="E20" i="3" s="1"/>
  <c r="C21" i="3"/>
  <c r="C20" i="3" s="1"/>
  <c r="D19" i="3"/>
  <c r="D18" i="3" s="1"/>
  <c r="E19" i="3"/>
  <c r="E18" i="3" s="1"/>
  <c r="C19" i="3"/>
  <c r="C18" i="3" s="1"/>
  <c r="D17" i="3"/>
  <c r="E17" i="3"/>
  <c r="C17" i="3"/>
  <c r="C28" i="3" l="1"/>
  <c r="E28" i="3"/>
  <c r="D28" i="3"/>
  <c r="D14" i="3"/>
  <c r="D13" i="3" s="1"/>
  <c r="E14" i="3"/>
  <c r="E13" i="3" s="1"/>
  <c r="C14" i="3"/>
  <c r="C13" i="3" s="1"/>
  <c r="D11" i="3"/>
  <c r="E11" i="3"/>
  <c r="C11" i="3"/>
  <c r="E10" i="3"/>
  <c r="D10" i="3"/>
  <c r="C10" i="3"/>
  <c r="D9" i="3"/>
  <c r="D12" i="3" s="1"/>
  <c r="E9" i="3"/>
  <c r="E12" i="3" s="1"/>
  <c r="C9" i="3"/>
  <c r="C12" i="3" s="1"/>
  <c r="D8" i="3"/>
  <c r="E8" i="3"/>
  <c r="C8" i="3"/>
  <c r="D7" i="3"/>
  <c r="E7" i="3"/>
  <c r="C7" i="3"/>
  <c r="D6" i="3"/>
  <c r="E6" i="3"/>
  <c r="C6" i="3"/>
  <c r="D5" i="3"/>
  <c r="E5" i="3"/>
  <c r="C5" i="3"/>
  <c r="C109" i="2"/>
  <c r="C108" i="2"/>
  <c r="D108" i="2"/>
  <c r="B108" i="2"/>
  <c r="D96" i="2"/>
  <c r="C96" i="2"/>
  <c r="B96" i="2"/>
  <c r="D88" i="2"/>
  <c r="D109" i="2" s="1"/>
  <c r="C88" i="2"/>
  <c r="B88" i="2"/>
  <c r="B109" i="2" s="1"/>
  <c r="D59" i="2"/>
  <c r="C59" i="2"/>
  <c r="B59" i="2"/>
  <c r="D54" i="2"/>
  <c r="C54" i="2"/>
  <c r="B54" i="2"/>
  <c r="D46" i="2"/>
  <c r="C46" i="2"/>
  <c r="B46" i="2"/>
  <c r="D40" i="2"/>
  <c r="C40" i="2"/>
  <c r="B40" i="2"/>
  <c r="D10" i="2"/>
  <c r="C10" i="2"/>
  <c r="B10" i="2"/>
  <c r="D60" i="2" l="1"/>
  <c r="C60" i="2"/>
  <c r="B60" i="2"/>
  <c r="C47" i="2"/>
  <c r="D47" i="2"/>
  <c r="B47" i="2"/>
  <c r="A47" i="3" l="1"/>
  <c r="A49" i="3" s="1"/>
  <c r="A16" i="3"/>
  <c r="A24" i="3" s="1"/>
  <c r="A5" i="3"/>
  <c r="A6" i="3" s="1"/>
  <c r="A7" i="3" s="1"/>
  <c r="A8" i="3" s="1"/>
  <c r="A9" i="3" s="1"/>
  <c r="A10" i="3" s="1"/>
  <c r="A11" i="3" s="1"/>
  <c r="A12" i="3" s="1"/>
  <c r="A13" i="3" s="1"/>
  <c r="A33" i="3" l="1"/>
  <c r="A25" i="3"/>
  <c r="A26" i="3" s="1"/>
  <c r="A27" i="3" s="1"/>
  <c r="A28" i="3" s="1"/>
  <c r="A29" i="3" s="1"/>
  <c r="A30" i="3" s="1"/>
  <c r="A17" i="3"/>
  <c r="A18" i="3" s="1"/>
  <c r="A20" i="3" s="1"/>
  <c r="A22" i="3" s="1"/>
  <c r="A34" i="3" l="1"/>
  <c r="A35" i="3" s="1"/>
  <c r="A36" i="3" s="1"/>
  <c r="A37" i="3" s="1"/>
  <c r="A39" i="3"/>
  <c r="A40" i="3" s="1"/>
  <c r="A41" i="3" s="1"/>
  <c r="A42" i="3" s="1"/>
  <c r="A43" i="3" s="1"/>
  <c r="A44" i="3" s="1"/>
  <c r="A46" i="3" s="1"/>
  <c r="A48" i="3" s="1"/>
  <c r="A50" i="3" s="1"/>
</calcChain>
</file>

<file path=xl/sharedStrings.xml><?xml version="1.0" encoding="utf-8"?>
<sst xmlns="http://schemas.openxmlformats.org/spreadsheetml/2006/main" count="165" uniqueCount="155">
  <si>
    <t>Instructions</t>
  </si>
  <si>
    <t>https://ir.aboutamazon.com/annual-reports-proxies-and-shareholder-letters/default.aspx</t>
  </si>
  <si>
    <t>You are required write up a 1-2 page report commenting on the financial health of Amazon Inc. based on the ratios you have calculated, addressing the five key topics mentioned in the ratios tab.</t>
  </si>
  <si>
    <t>Formats:</t>
  </si>
  <si>
    <t>However make sure you have covered the five key topics in the ratio analysis</t>
  </si>
  <si>
    <t>Please refer to the below website in order to download the company financial statements:</t>
  </si>
  <si>
    <t>You are free to use any additional publicly available information/ news articles whilst mentioning the sources at the end page</t>
  </si>
  <si>
    <t>The report should be submitted as a word document</t>
  </si>
  <si>
    <t>The supporting calculations should be submitted in excel document as same as the previous task.</t>
  </si>
  <si>
    <t>(In millions, except number of shares which are reflected in thousands and per share amounts)</t>
  </si>
  <si>
    <t>CONSOLIDATED STATEMENTS OF OPERATIONS</t>
  </si>
  <si>
    <t>Gross margin</t>
  </si>
  <si>
    <t>CONSOLIDATED BALANCE SHEETS</t>
  </si>
  <si>
    <t>CONSOLIDATED STATEMENTS OF CASH FLOWS</t>
  </si>
  <si>
    <t>Liquidity</t>
  </si>
  <si>
    <t>Current ratio</t>
  </si>
  <si>
    <t>Quick Ratio</t>
  </si>
  <si>
    <t>Cash Ratio</t>
  </si>
  <si>
    <t>Defensive Interval</t>
  </si>
  <si>
    <t>Inventory Days</t>
  </si>
  <si>
    <t>Payable Days</t>
  </si>
  <si>
    <t>Receivable Days</t>
  </si>
  <si>
    <t>Net trading cycle</t>
  </si>
  <si>
    <t>Working Capital as a % of Sales</t>
  </si>
  <si>
    <t>Working Capital</t>
  </si>
  <si>
    <t>Profitability</t>
  </si>
  <si>
    <t>EBITDA margin</t>
  </si>
  <si>
    <t>EBITDA</t>
  </si>
  <si>
    <t>EBIT margin</t>
  </si>
  <si>
    <t>EBIT</t>
  </si>
  <si>
    <t>Net margin</t>
  </si>
  <si>
    <t>Solvency/ debt management</t>
  </si>
  <si>
    <t>Debt to equity (D/E)</t>
  </si>
  <si>
    <t>Debt to total assets</t>
  </si>
  <si>
    <t>Long-term debt to capital</t>
  </si>
  <si>
    <t>Times interest earned</t>
  </si>
  <si>
    <t>Debt coverage</t>
  </si>
  <si>
    <t>Free cash flow (FCFE) per share</t>
  </si>
  <si>
    <t>FCFE</t>
  </si>
  <si>
    <t>Asset utilization</t>
  </si>
  <si>
    <t>Total asset turnover</t>
  </si>
  <si>
    <t>Fixed asset turnover</t>
  </si>
  <si>
    <t>Inventory turnover</t>
  </si>
  <si>
    <t>Return on assets (ROA)</t>
  </si>
  <si>
    <t>Investor/market ratios</t>
  </si>
  <si>
    <t>Price to equity (P/E)</t>
  </si>
  <si>
    <t>Earnings per share (EPS)</t>
  </si>
  <si>
    <t>Price to book value (PBV)</t>
  </si>
  <si>
    <t>Book value per share (BV)</t>
  </si>
  <si>
    <t>Dividend payout ratio</t>
  </si>
  <si>
    <t>Dividend per share</t>
  </si>
  <si>
    <t>Dividend yield</t>
  </si>
  <si>
    <t>Return on equity (ROE)</t>
  </si>
  <si>
    <t>Return on capital employed (ROCE)</t>
  </si>
  <si>
    <t>Enterprise value to EBITDA (EV/EBITDA)</t>
  </si>
  <si>
    <t>Enterprise value (EV)</t>
  </si>
  <si>
    <t xml:space="preserve">Years ended </t>
  </si>
  <si>
    <t xml:space="preserve">As at </t>
  </si>
  <si>
    <t>Years ended ,</t>
  </si>
  <si>
    <t>Please input the three financial statements in the format from previous task, attached here in the second tab</t>
  </si>
  <si>
    <t>Perform the calculations on tab three similar to previous task.</t>
  </si>
  <si>
    <t>Perform a management report, analyzing the financial health of Amazon Inc. based on its recent two annual reports (2022 &amp; 2021).</t>
  </si>
  <si>
    <t>Amazon</t>
  </si>
  <si>
    <t>Net sales:</t>
  </si>
  <si>
    <t>Products</t>
  </si>
  <si>
    <t>Services</t>
  </si>
  <si>
    <t xml:space="preserve">Total net sales </t>
  </si>
  <si>
    <t xml:space="preserve">Total Cost of sales </t>
  </si>
  <si>
    <t>Operating expenses:</t>
  </si>
  <si>
    <t xml:space="preserve">  Fulfillment</t>
  </si>
  <si>
    <t>Technology and content</t>
  </si>
  <si>
    <t xml:space="preserve">Sales and marketing </t>
  </si>
  <si>
    <t>Total operating expenses</t>
  </si>
  <si>
    <t>Operating income</t>
  </si>
  <si>
    <t>Other icome/ (expenses), net</t>
  </si>
  <si>
    <t>Income before provision for income taxes</t>
  </si>
  <si>
    <t>Provision for income taxes</t>
  </si>
  <si>
    <t>Net Income</t>
  </si>
  <si>
    <t xml:space="preserve">Earnings per share </t>
  </si>
  <si>
    <t>Basic</t>
  </si>
  <si>
    <t>Diluted</t>
  </si>
  <si>
    <t>Shares used in computing earnings per share:</t>
  </si>
  <si>
    <t>Current assets:</t>
  </si>
  <si>
    <t>Cash and cash equivalents</t>
  </si>
  <si>
    <t>Marketable securities</t>
  </si>
  <si>
    <t>Accounts receivable, net</t>
  </si>
  <si>
    <t>Inventories</t>
  </si>
  <si>
    <t>Total current assets</t>
  </si>
  <si>
    <t>Non current assets:</t>
  </si>
  <si>
    <t>Property and equipment, net</t>
  </si>
  <si>
    <t>Operating leases</t>
  </si>
  <si>
    <t>Goodwill</t>
  </si>
  <si>
    <t xml:space="preserve">   Other non current assets</t>
  </si>
  <si>
    <t>Total non current assets</t>
  </si>
  <si>
    <t>Total assets</t>
  </si>
  <si>
    <t>Current liabilities:</t>
  </si>
  <si>
    <t>Accounts payable</t>
  </si>
  <si>
    <t>Accrued expenses and other</t>
  </si>
  <si>
    <t>Unearned revenue</t>
  </si>
  <si>
    <t>Total current liabilities</t>
  </si>
  <si>
    <t>Non current liabilities:</t>
  </si>
  <si>
    <t>Long-term lease liabilitis</t>
  </si>
  <si>
    <t>Long term debt</t>
  </si>
  <si>
    <t>Other long-term liabilities</t>
  </si>
  <si>
    <t>Total non current liabilities</t>
  </si>
  <si>
    <t>Total liabilities</t>
  </si>
  <si>
    <t>Shareholders' equity:</t>
  </si>
  <si>
    <t>Common stock ($0.01 per value:)</t>
  </si>
  <si>
    <t>Additional paid-in capital</t>
  </si>
  <si>
    <t>Retained earnings</t>
  </si>
  <si>
    <t>Accumulated other comprehensive income/ (loss)</t>
  </si>
  <si>
    <t>Total shareholders' equity</t>
  </si>
  <si>
    <t>Total liabilitis and stiockholders' equity</t>
  </si>
  <si>
    <t>Cash, cash equivalents and restricted cash, beginning balances</t>
  </si>
  <si>
    <t>Operating activities:</t>
  </si>
  <si>
    <t>Net income</t>
  </si>
  <si>
    <t>Adjustments to reconcile net income (loss) to net cash from operating activities:</t>
  </si>
  <si>
    <t xml:space="preserve">Depreciation and amortization of property and equipment </t>
  </si>
  <si>
    <t>Stock-based compensation</t>
  </si>
  <si>
    <t>Other expense (income), net</t>
  </si>
  <si>
    <t>Deferred income taxes</t>
  </si>
  <si>
    <t>Changes in operating assets and liabilities:</t>
  </si>
  <si>
    <t>Accounts receivable, net and other</t>
  </si>
  <si>
    <t>Net cash provided by (used in) operating activities</t>
  </si>
  <si>
    <t>Purchases of property and equipment</t>
  </si>
  <si>
    <t>Proceeds from property and equipment sales and incentives</t>
  </si>
  <si>
    <t>Acquisitions, net of cash acquired, and other</t>
  </si>
  <si>
    <t>Sales and maturities of marketable securities</t>
  </si>
  <si>
    <t>Purchases of marketable securities</t>
  </si>
  <si>
    <t>Net cash provided by (used in) investing activities</t>
  </si>
  <si>
    <t>Common stock repurchased</t>
  </si>
  <si>
    <t>Proceeds from short-term debt, and other</t>
  </si>
  <si>
    <t>Repayments of short-term debt, and other</t>
  </si>
  <si>
    <t>Proceeds from long-term debt</t>
  </si>
  <si>
    <t>Repayments of long-term debt</t>
  </si>
  <si>
    <t>Principal repayments of finance leases</t>
  </si>
  <si>
    <t>Principal repayments of financing obligations</t>
  </si>
  <si>
    <t>Net cash provided by (used in) financing activities</t>
  </si>
  <si>
    <t>Foreign currency effect on cash, cash equivalents, and restricted cash</t>
  </si>
  <si>
    <t>Net increase (decrease) in cash, cash equivalents, and restricted cash</t>
  </si>
  <si>
    <t>Supplemental cash flow disclosure:</t>
  </si>
  <si>
    <t>Cash paid for income taxes, net</t>
  </si>
  <si>
    <t>Cash paid for interest on finance leases</t>
  </si>
  <si>
    <t>Cash paid for interest on financing obligation</t>
  </si>
  <si>
    <t>Cash generated by operating activities</t>
  </si>
  <si>
    <t>Investing activities:</t>
  </si>
  <si>
    <t>Cash generated by/(used in) investing activities</t>
  </si>
  <si>
    <t>Financing activities:</t>
  </si>
  <si>
    <t>Cash used in financing activities</t>
  </si>
  <si>
    <t>Increase/(Decrease) in cash, cash equivalents and restricted</t>
  </si>
  <si>
    <t>Cash, cash equivalents and restricted cash, ending balances</t>
  </si>
  <si>
    <t>Current Assets / Daily Operational Expenses where Daily Operational Expenses = (Annual Operating Expenses - Noncash Charges) / 365</t>
  </si>
  <si>
    <t>Remove multiplication by 100 and use the % formatting instead</t>
  </si>
  <si>
    <t>Add Purchases of property and equipment (row 90 ins FS sheet) to this</t>
  </si>
  <si>
    <t>Market Cap (Share price * number of shares) + Total Debt - (Cash + Cash Equivalents)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</si>
</sst>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_(* #,##0_);_(* \(#,##0\);_(* &quot;-&quot;??_);_(@_)"/>
    <numFmt numFmtId="166" formatCode="0.0"/>
    <numFmt numFmtId="170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20"/>
      <color theme="0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0" fillId="0" borderId="0" xfId="0" applyAlignment="1">
      <alignment horizontal="left" indent="1"/>
    </xf>
    <xf numFmtId="0" fontId="0" fillId="0" borderId="0" xfId="0" applyAlignment="1">
      <alignment wrapText="1"/>
    </xf>
    <xf numFmtId="0" fontId="4" fillId="2" borderId="0" xfId="0" applyFont="1" applyFill="1" applyAlignment="1">
      <alignment wrapText="1"/>
    </xf>
    <xf numFmtId="0" fontId="2" fillId="0" borderId="0" xfId="0" applyFont="1" applyAlignment="1">
      <alignment wrapText="1"/>
    </xf>
    <xf numFmtId="0" fontId="0" fillId="0" borderId="0" xfId="0" applyAlignment="1">
      <alignment horizontal="left" wrapText="1" indent="1"/>
    </xf>
    <xf numFmtId="0" fontId="5" fillId="0" borderId="0" xfId="2" applyAlignment="1">
      <alignment horizontal="left" wrapText="1" indent="1"/>
    </xf>
    <xf numFmtId="0" fontId="6" fillId="2" borderId="0" xfId="0" applyFont="1" applyFill="1" applyAlignment="1">
      <alignment vertical="center"/>
    </xf>
    <xf numFmtId="0" fontId="3" fillId="2" borderId="0" xfId="0" applyFont="1" applyFill="1"/>
    <xf numFmtId="0" fontId="2" fillId="0" borderId="0" xfId="0" applyFont="1"/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7" fillId="2" borderId="0" xfId="0" applyFont="1" applyFill="1" applyAlignment="1">
      <alignment horizontal="left"/>
    </xf>
    <xf numFmtId="0" fontId="3" fillId="2" borderId="0" xfId="0" applyFont="1" applyFill="1" applyAlignment="1">
      <alignment horizontal="center"/>
    </xf>
    <xf numFmtId="166" fontId="0" fillId="0" borderId="0" xfId="0" applyNumberFormat="1"/>
    <xf numFmtId="0" fontId="2" fillId="0" borderId="0" xfId="0" applyFont="1" applyAlignment="1">
      <alignment horizontal="left"/>
    </xf>
    <xf numFmtId="0" fontId="0" fillId="0" borderId="1" xfId="0" applyBorder="1"/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 wrapText="1" indent="2"/>
    </xf>
    <xf numFmtId="165" fontId="1" fillId="0" borderId="0" xfId="1" applyNumberFormat="1" applyFont="1"/>
    <xf numFmtId="3" fontId="8" fillId="0" borderId="0" xfId="0" applyNumberFormat="1" applyFont="1" applyAlignment="1">
      <alignment horizontal="right" vertical="center" wrapText="1"/>
    </xf>
    <xf numFmtId="3" fontId="1" fillId="0" borderId="0" xfId="0" applyNumberFormat="1" applyFont="1" applyAlignment="1">
      <alignment horizontal="right" vertical="center" wrapText="1"/>
    </xf>
    <xf numFmtId="3" fontId="1" fillId="0" borderId="0" xfId="0" applyNumberFormat="1" applyFont="1"/>
    <xf numFmtId="0" fontId="1" fillId="0" borderId="0" xfId="0" applyFont="1"/>
    <xf numFmtId="0" fontId="1" fillId="4" borderId="0" xfId="0" applyFont="1" applyFill="1"/>
    <xf numFmtId="165" fontId="1" fillId="0" borderId="1" xfId="1" applyNumberFormat="1" applyFont="1" applyBorder="1"/>
    <xf numFmtId="165" fontId="0" fillId="0" borderId="0" xfId="0" applyNumberFormat="1"/>
    <xf numFmtId="3" fontId="2" fillId="0" borderId="0" xfId="0" applyNumberFormat="1" applyFont="1" applyAlignment="1">
      <alignment horizontal="right" vertical="center" wrapText="1"/>
    </xf>
    <xf numFmtId="3" fontId="2" fillId="0" borderId="0" xfId="0" applyNumberFormat="1" applyFont="1"/>
    <xf numFmtId="9" fontId="0" fillId="0" borderId="0" xfId="3" applyFont="1"/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164" fontId="0" fillId="0" borderId="0" xfId="1" applyFont="1"/>
    <xf numFmtId="164" fontId="0" fillId="0" borderId="0" xfId="1" applyNumberFormat="1" applyFont="1"/>
    <xf numFmtId="2" fontId="0" fillId="0" borderId="0" xfId="0" applyNumberFormat="1"/>
    <xf numFmtId="170" fontId="0" fillId="0" borderId="0" xfId="3" applyNumberFormat="1" applyFont="1"/>
  </cellXfs>
  <cellStyles count="4">
    <cellStyle name="Comma" xfId="1" builtinId="3"/>
    <cellStyle name="Hyperlink" xfId="2" builtinId="8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ir.aboutamazon.com/annual-reports-proxies-and-shareholder-letters/default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5"/>
  <sheetViews>
    <sheetView zoomScale="71" workbookViewId="0">
      <selection activeCell="A9" sqref="A9"/>
    </sheetView>
  </sheetViews>
  <sheetFormatPr defaultRowHeight="14.4" x14ac:dyDescent="0.3"/>
  <cols>
    <col min="1" max="1" width="157.88671875" style="2" customWidth="1"/>
  </cols>
  <sheetData>
    <row r="1" spans="1:1" ht="23.4" x14ac:dyDescent="0.45">
      <c r="A1" s="3" t="s">
        <v>0</v>
      </c>
    </row>
    <row r="3" spans="1:1" x14ac:dyDescent="0.3">
      <c r="A3" s="2" t="s">
        <v>61</v>
      </c>
    </row>
    <row r="4" spans="1:1" x14ac:dyDescent="0.3">
      <c r="A4" s="5" t="s">
        <v>5</v>
      </c>
    </row>
    <row r="5" spans="1:1" x14ac:dyDescent="0.3">
      <c r="A5" s="6" t="s">
        <v>1</v>
      </c>
    </row>
    <row r="7" spans="1:1" x14ac:dyDescent="0.3">
      <c r="A7" s="2" t="s">
        <v>59</v>
      </c>
    </row>
    <row r="8" spans="1:1" x14ac:dyDescent="0.3">
      <c r="A8" s="2" t="s">
        <v>60</v>
      </c>
    </row>
    <row r="9" spans="1:1" ht="28.8" x14ac:dyDescent="0.3">
      <c r="A9" s="2" t="s">
        <v>2</v>
      </c>
    </row>
    <row r="10" spans="1:1" x14ac:dyDescent="0.3">
      <c r="A10" s="2" t="s">
        <v>6</v>
      </c>
    </row>
    <row r="11" spans="1:1" x14ac:dyDescent="0.3">
      <c r="A11" s="2" t="s">
        <v>4</v>
      </c>
    </row>
    <row r="13" spans="1:1" x14ac:dyDescent="0.3">
      <c r="A13" s="4" t="s">
        <v>3</v>
      </c>
    </row>
    <row r="14" spans="1:1" x14ac:dyDescent="0.3">
      <c r="A14" s="2" t="s">
        <v>7</v>
      </c>
    </row>
    <row r="15" spans="1:1" x14ac:dyDescent="0.3">
      <c r="A15" s="2" t="s">
        <v>8</v>
      </c>
    </row>
  </sheetData>
  <hyperlinks>
    <hyperlink ref="A5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15"/>
  <sheetViews>
    <sheetView topLeftCell="A18" zoomScale="80" zoomScaleNormal="80" workbookViewId="0">
      <selection activeCell="D20" sqref="D20"/>
    </sheetView>
  </sheetViews>
  <sheetFormatPr defaultRowHeight="14.4" x14ac:dyDescent="0.3"/>
  <cols>
    <col min="1" max="1" width="78.44140625" bestFit="1" customWidth="1"/>
    <col min="2" max="3" width="11.5546875" bestFit="1" customWidth="1"/>
    <col min="4" max="4" width="11.6640625" bestFit="1" customWidth="1"/>
  </cols>
  <sheetData>
    <row r="1" spans="1:10" ht="60" customHeight="1" x14ac:dyDescent="0.3">
      <c r="A1" s="7" t="s">
        <v>62</v>
      </c>
      <c r="B1" s="8" t="s">
        <v>9</v>
      </c>
      <c r="C1" s="8"/>
      <c r="D1" s="8"/>
      <c r="E1" s="8"/>
      <c r="F1" s="8"/>
      <c r="G1" s="8"/>
      <c r="H1" s="8"/>
      <c r="I1" s="8"/>
      <c r="J1" s="8"/>
    </row>
    <row r="2" spans="1:10" x14ac:dyDescent="0.3">
      <c r="A2" s="38" t="s">
        <v>10</v>
      </c>
      <c r="B2" s="38"/>
      <c r="C2" s="38"/>
      <c r="D2" s="38"/>
    </row>
    <row r="3" spans="1:10" x14ac:dyDescent="0.3">
      <c r="B3" s="37" t="s">
        <v>56</v>
      </c>
      <c r="C3" s="37"/>
      <c r="D3" s="37"/>
    </row>
    <row r="4" spans="1:10" x14ac:dyDescent="0.3">
      <c r="B4" s="9">
        <v>2022</v>
      </c>
      <c r="C4" s="9">
        <v>2021</v>
      </c>
      <c r="D4" s="9">
        <v>2020</v>
      </c>
    </row>
    <row r="5" spans="1:10" x14ac:dyDescent="0.3">
      <c r="A5" t="s">
        <v>63</v>
      </c>
    </row>
    <row r="6" spans="1:10" x14ac:dyDescent="0.3">
      <c r="A6" s="1" t="s">
        <v>64</v>
      </c>
      <c r="B6" s="15">
        <v>242901</v>
      </c>
      <c r="C6" s="15">
        <v>241787</v>
      </c>
      <c r="D6" s="15">
        <v>215915</v>
      </c>
    </row>
    <row r="7" spans="1:10" x14ac:dyDescent="0.3">
      <c r="A7" s="1" t="s">
        <v>65</v>
      </c>
      <c r="B7" s="15">
        <v>271082</v>
      </c>
      <c r="C7" s="15">
        <v>228035</v>
      </c>
      <c r="D7" s="15">
        <v>170149</v>
      </c>
    </row>
    <row r="8" spans="1:10" x14ac:dyDescent="0.3">
      <c r="A8" s="11" t="s">
        <v>66</v>
      </c>
      <c r="B8" s="34">
        <v>513983</v>
      </c>
      <c r="C8" s="35">
        <v>469822</v>
      </c>
      <c r="D8" s="35">
        <v>386064</v>
      </c>
    </row>
    <row r="9" spans="1:10" x14ac:dyDescent="0.3">
      <c r="A9" s="9" t="s">
        <v>67</v>
      </c>
      <c r="B9" s="35">
        <v>288831</v>
      </c>
      <c r="C9" s="35">
        <v>272344</v>
      </c>
      <c r="D9" s="35">
        <v>233307</v>
      </c>
    </row>
    <row r="10" spans="1:10" x14ac:dyDescent="0.3">
      <c r="A10" s="11" t="s">
        <v>11</v>
      </c>
      <c r="B10" s="12">
        <f>B8-B9</f>
        <v>225152</v>
      </c>
      <c r="C10" s="12">
        <f>C8-C9</f>
        <v>197478</v>
      </c>
      <c r="D10" s="12">
        <f>D8-D9</f>
        <v>152757</v>
      </c>
    </row>
    <row r="11" spans="1:10" x14ac:dyDescent="0.3">
      <c r="A11" s="11" t="s">
        <v>68</v>
      </c>
      <c r="B11" s="12"/>
      <c r="C11" s="12"/>
      <c r="D11" s="12"/>
    </row>
    <row r="12" spans="1:10" x14ac:dyDescent="0.3">
      <c r="A12" t="s">
        <v>69</v>
      </c>
      <c r="B12" s="26">
        <v>84299</v>
      </c>
      <c r="C12" s="26">
        <v>75111</v>
      </c>
      <c r="D12" s="27">
        <v>58517</v>
      </c>
    </row>
    <row r="13" spans="1:10" x14ac:dyDescent="0.3">
      <c r="A13" s="1" t="s">
        <v>70</v>
      </c>
      <c r="B13" s="26">
        <v>73213</v>
      </c>
      <c r="C13" s="26">
        <v>56052</v>
      </c>
      <c r="D13" s="26">
        <v>42740</v>
      </c>
    </row>
    <row r="14" spans="1:10" x14ac:dyDescent="0.3">
      <c r="A14" s="1" t="s">
        <v>71</v>
      </c>
      <c r="B14" s="26">
        <v>42238</v>
      </c>
      <c r="C14" s="26">
        <v>32551</v>
      </c>
      <c r="D14" s="26">
        <v>22008</v>
      </c>
    </row>
    <row r="15" spans="1:10" x14ac:dyDescent="0.3">
      <c r="A15" s="11" t="s">
        <v>72</v>
      </c>
      <c r="B15" s="12">
        <v>501735</v>
      </c>
      <c r="C15" s="12">
        <v>444943</v>
      </c>
      <c r="D15" s="12">
        <v>363165</v>
      </c>
    </row>
    <row r="16" spans="1:10" s="11" customFormat="1" x14ac:dyDescent="0.3">
      <c r="A16" s="11" t="s">
        <v>73</v>
      </c>
      <c r="B16" s="12">
        <v>12248</v>
      </c>
      <c r="C16" s="12">
        <v>24879</v>
      </c>
      <c r="D16" s="12">
        <v>22899</v>
      </c>
    </row>
    <row r="17" spans="1:4" x14ac:dyDescent="0.3">
      <c r="A17" t="s">
        <v>74</v>
      </c>
      <c r="B17" s="26">
        <v>-16806</v>
      </c>
      <c r="C17" s="26">
        <v>14633</v>
      </c>
      <c r="D17" s="26">
        <v>2371</v>
      </c>
    </row>
    <row r="18" spans="1:4" x14ac:dyDescent="0.3">
      <c r="A18" s="11" t="s">
        <v>75</v>
      </c>
      <c r="B18" s="28">
        <v>-5936</v>
      </c>
      <c r="C18" s="29">
        <v>38151</v>
      </c>
      <c r="D18" s="28">
        <v>24178</v>
      </c>
    </row>
    <row r="19" spans="1:4" x14ac:dyDescent="0.3">
      <c r="A19" t="s">
        <v>76</v>
      </c>
      <c r="B19" s="26">
        <v>-2863</v>
      </c>
      <c r="C19" s="26">
        <v>-4791</v>
      </c>
      <c r="D19" s="26">
        <v>3217</v>
      </c>
    </row>
    <row r="20" spans="1:4" ht="15" thickBot="1" x14ac:dyDescent="0.35">
      <c r="A20" s="13" t="s">
        <v>77</v>
      </c>
      <c r="B20" s="14">
        <v>-2722</v>
      </c>
      <c r="C20" s="14">
        <v>33364</v>
      </c>
      <c r="D20" s="14">
        <v>21331</v>
      </c>
    </row>
    <row r="21" spans="1:4" ht="15" thickTop="1" x14ac:dyDescent="0.3">
      <c r="A21" t="s">
        <v>78</v>
      </c>
      <c r="B21" s="30"/>
      <c r="C21" s="30"/>
      <c r="D21" s="30"/>
    </row>
    <row r="22" spans="1:4" x14ac:dyDescent="0.3">
      <c r="A22" s="1" t="s">
        <v>79</v>
      </c>
      <c r="B22" s="31">
        <v>-0.27</v>
      </c>
      <c r="C22" s="30">
        <v>3.3</v>
      </c>
      <c r="D22" s="30">
        <v>2.13</v>
      </c>
    </row>
    <row r="23" spans="1:4" x14ac:dyDescent="0.3">
      <c r="A23" s="1" t="s">
        <v>80</v>
      </c>
      <c r="B23" s="31">
        <v>-0.27</v>
      </c>
      <c r="C23" s="31">
        <v>3.24</v>
      </c>
      <c r="D23" s="31">
        <v>2.09</v>
      </c>
    </row>
    <row r="24" spans="1:4" x14ac:dyDescent="0.3">
      <c r="A24" t="s">
        <v>81</v>
      </c>
      <c r="B24" s="30"/>
      <c r="C24" s="30"/>
      <c r="D24" s="30"/>
    </row>
    <row r="25" spans="1:4" x14ac:dyDescent="0.3">
      <c r="A25" s="1" t="s">
        <v>79</v>
      </c>
      <c r="B25" s="29">
        <v>10189</v>
      </c>
      <c r="C25" s="29">
        <v>10117</v>
      </c>
      <c r="D25" s="29">
        <v>10005</v>
      </c>
    </row>
    <row r="26" spans="1:4" x14ac:dyDescent="0.3">
      <c r="A26" s="1" t="s">
        <v>80</v>
      </c>
      <c r="B26" s="29">
        <v>10189</v>
      </c>
      <c r="C26" s="29">
        <v>10296</v>
      </c>
      <c r="D26" s="29">
        <v>10198</v>
      </c>
    </row>
    <row r="29" spans="1:4" x14ac:dyDescent="0.3">
      <c r="A29" s="38" t="s">
        <v>12</v>
      </c>
      <c r="B29" s="38"/>
      <c r="C29" s="38"/>
      <c r="D29" s="38"/>
    </row>
    <row r="30" spans="1:4" x14ac:dyDescent="0.3">
      <c r="B30" s="37" t="s">
        <v>57</v>
      </c>
      <c r="C30" s="37"/>
      <c r="D30" s="37"/>
    </row>
    <row r="31" spans="1:4" x14ac:dyDescent="0.3">
      <c r="B31" s="9">
        <v>2022</v>
      </c>
      <c r="C31" s="9">
        <v>2021</v>
      </c>
      <c r="D31" s="9">
        <v>2020</v>
      </c>
    </row>
    <row r="32" spans="1:4" x14ac:dyDescent="0.3">
      <c r="A32" t="s">
        <v>82</v>
      </c>
    </row>
    <row r="33" spans="1:4" x14ac:dyDescent="0.3">
      <c r="A33" s="1" t="s">
        <v>83</v>
      </c>
      <c r="B33" s="15">
        <v>53888</v>
      </c>
      <c r="C33" s="15">
        <v>36220</v>
      </c>
      <c r="D33" s="15">
        <v>42122</v>
      </c>
    </row>
    <row r="34" spans="1:4" x14ac:dyDescent="0.3">
      <c r="A34" s="1" t="s">
        <v>84</v>
      </c>
      <c r="B34" s="10">
        <v>16138</v>
      </c>
      <c r="C34" s="10">
        <v>59829</v>
      </c>
      <c r="D34" s="10">
        <v>42274</v>
      </c>
    </row>
    <row r="35" spans="1:4" x14ac:dyDescent="0.3">
      <c r="A35" s="1" t="s">
        <v>85</v>
      </c>
      <c r="B35" s="10">
        <v>42360</v>
      </c>
      <c r="C35" s="10">
        <v>32891</v>
      </c>
      <c r="D35" s="10">
        <v>24542</v>
      </c>
    </row>
    <row r="36" spans="1:4" x14ac:dyDescent="0.3">
      <c r="A36" s="1" t="s">
        <v>86</v>
      </c>
      <c r="B36" s="10">
        <v>34405</v>
      </c>
      <c r="C36" s="10">
        <v>32640</v>
      </c>
      <c r="D36" s="10">
        <v>23795</v>
      </c>
    </row>
    <row r="37" spans="1:4" x14ac:dyDescent="0.3">
      <c r="A37" s="1"/>
      <c r="B37" s="10"/>
      <c r="C37" s="10"/>
      <c r="D37" s="10"/>
    </row>
    <row r="38" spans="1:4" x14ac:dyDescent="0.3">
      <c r="A38" s="1"/>
      <c r="B38" s="10"/>
      <c r="C38" s="10"/>
      <c r="D38" s="10"/>
    </row>
    <row r="39" spans="1:4" x14ac:dyDescent="0.3">
      <c r="A39" s="1"/>
      <c r="B39" s="10"/>
      <c r="C39" s="10"/>
      <c r="D39" s="10"/>
    </row>
    <row r="40" spans="1:4" x14ac:dyDescent="0.3">
      <c r="A40" s="11" t="s">
        <v>87</v>
      </c>
      <c r="B40" s="12">
        <f>+(SUM(B33:B36))</f>
        <v>146791</v>
      </c>
      <c r="C40" s="12">
        <f>+(SUM(C33:C36))</f>
        <v>161580</v>
      </c>
      <c r="D40" s="12">
        <f>+(SUM(D33:D36))</f>
        <v>132733</v>
      </c>
    </row>
    <row r="41" spans="1:4" x14ac:dyDescent="0.3">
      <c r="A41" t="s">
        <v>88</v>
      </c>
      <c r="B41" s="10"/>
      <c r="C41" s="10"/>
      <c r="D41" s="10"/>
    </row>
    <row r="42" spans="1:4" x14ac:dyDescent="0.3">
      <c r="A42" s="1" t="s">
        <v>89</v>
      </c>
      <c r="B42" s="10">
        <v>186715</v>
      </c>
      <c r="C42" s="10">
        <v>160281</v>
      </c>
      <c r="D42" s="10">
        <v>113114</v>
      </c>
    </row>
    <row r="43" spans="1:4" x14ac:dyDescent="0.3">
      <c r="A43" s="1" t="s">
        <v>90</v>
      </c>
      <c r="B43" s="10">
        <v>66123</v>
      </c>
      <c r="C43" s="10">
        <v>56082</v>
      </c>
      <c r="D43" s="10">
        <v>37553</v>
      </c>
    </row>
    <row r="44" spans="1:4" x14ac:dyDescent="0.3">
      <c r="A44" s="1" t="s">
        <v>91</v>
      </c>
      <c r="B44" s="10">
        <v>20288</v>
      </c>
      <c r="C44" s="10">
        <v>15371</v>
      </c>
      <c r="D44" s="10">
        <v>15017</v>
      </c>
    </row>
    <row r="45" spans="1:4" x14ac:dyDescent="0.3">
      <c r="A45" s="23" t="s">
        <v>92</v>
      </c>
      <c r="B45" s="32">
        <v>42758</v>
      </c>
      <c r="C45" s="32">
        <v>27235</v>
      </c>
      <c r="D45" s="32">
        <v>22778</v>
      </c>
    </row>
    <row r="46" spans="1:4" ht="15" thickBot="1" x14ac:dyDescent="0.35">
      <c r="A46" s="13" t="s">
        <v>93</v>
      </c>
      <c r="B46" s="14">
        <f>+(SUM(B42:B45))</f>
        <v>315884</v>
      </c>
      <c r="C46" s="14">
        <f>+(SUM(C42:C45))</f>
        <v>258969</v>
      </c>
      <c r="D46" s="14">
        <f>+(SUM(D42:D45))</f>
        <v>188462</v>
      </c>
    </row>
    <row r="47" spans="1:4" ht="15" thickTop="1" x14ac:dyDescent="0.3">
      <c r="A47" s="17" t="s">
        <v>94</v>
      </c>
      <c r="B47" s="33">
        <f>(B40+B46)</f>
        <v>462675</v>
      </c>
      <c r="C47" s="33">
        <f>(C40+C46)</f>
        <v>420549</v>
      </c>
      <c r="D47" s="33">
        <f>(D40+D46)</f>
        <v>321195</v>
      </c>
    </row>
    <row r="49" spans="1:4" x14ac:dyDescent="0.3">
      <c r="A49" s="1" t="s">
        <v>95</v>
      </c>
      <c r="B49" s="10"/>
      <c r="C49" s="10"/>
      <c r="D49" s="10"/>
    </row>
    <row r="50" spans="1:4" x14ac:dyDescent="0.3">
      <c r="A50" s="1" t="s">
        <v>96</v>
      </c>
      <c r="B50" s="10">
        <v>79600</v>
      </c>
      <c r="C50" s="10">
        <v>78664</v>
      </c>
      <c r="D50" s="10">
        <v>72539</v>
      </c>
    </row>
    <row r="51" spans="1:4" x14ac:dyDescent="0.3">
      <c r="A51" s="1" t="s">
        <v>97</v>
      </c>
      <c r="B51" s="10">
        <v>62566</v>
      </c>
      <c r="C51" s="10">
        <v>51775</v>
      </c>
      <c r="D51" s="10">
        <v>44138</v>
      </c>
    </row>
    <row r="52" spans="1:4" x14ac:dyDescent="0.3">
      <c r="A52" s="1" t="s">
        <v>98</v>
      </c>
      <c r="B52" s="10">
        <v>13227</v>
      </c>
      <c r="C52" s="10">
        <v>11827</v>
      </c>
      <c r="D52" s="10">
        <v>9708</v>
      </c>
    </row>
    <row r="53" spans="1:4" x14ac:dyDescent="0.3">
      <c r="A53" s="1"/>
      <c r="B53" s="10"/>
      <c r="C53" s="10"/>
      <c r="D53" s="10"/>
    </row>
    <row r="54" spans="1:4" x14ac:dyDescent="0.3">
      <c r="A54" s="11" t="s">
        <v>99</v>
      </c>
      <c r="B54" s="12">
        <f>+SUM(B50:B52)</f>
        <v>155393</v>
      </c>
      <c r="C54" s="12">
        <f>+SUM(C50:C52)</f>
        <v>142266</v>
      </c>
      <c r="D54" s="12">
        <f>+SUM(D50:D52)</f>
        <v>126385</v>
      </c>
    </row>
    <row r="55" spans="1:4" x14ac:dyDescent="0.3">
      <c r="A55" s="1" t="s">
        <v>100</v>
      </c>
      <c r="B55" s="10"/>
      <c r="C55" s="10"/>
      <c r="D55" s="10"/>
    </row>
    <row r="56" spans="1:4" x14ac:dyDescent="0.3">
      <c r="A56" s="1" t="s">
        <v>101</v>
      </c>
      <c r="B56" s="10">
        <v>72968</v>
      </c>
      <c r="C56" s="10">
        <v>67651</v>
      </c>
      <c r="D56" s="10">
        <v>52573</v>
      </c>
    </row>
    <row r="57" spans="1:4" x14ac:dyDescent="0.3">
      <c r="A57" s="1" t="s">
        <v>102</v>
      </c>
      <c r="B57" s="10">
        <v>67150</v>
      </c>
      <c r="C57" s="10">
        <v>48744</v>
      </c>
      <c r="D57" s="10">
        <v>31816</v>
      </c>
    </row>
    <row r="58" spans="1:4" x14ac:dyDescent="0.3">
      <c r="A58" s="1" t="s">
        <v>103</v>
      </c>
      <c r="B58" s="10">
        <v>21121</v>
      </c>
      <c r="C58" s="10">
        <v>23643</v>
      </c>
      <c r="D58" s="10">
        <v>17017</v>
      </c>
    </row>
    <row r="59" spans="1:4" x14ac:dyDescent="0.3">
      <c r="A59" s="17" t="s">
        <v>104</v>
      </c>
      <c r="B59" s="16">
        <f>+SUM(B56:B58)</f>
        <v>161239</v>
      </c>
      <c r="C59" s="16">
        <f>+SUM(C56:C58)</f>
        <v>140038</v>
      </c>
      <c r="D59" s="16">
        <f>+SUM(D56:D58)</f>
        <v>101406</v>
      </c>
    </row>
    <row r="60" spans="1:4" x14ac:dyDescent="0.3">
      <c r="A60" s="11" t="s">
        <v>105</v>
      </c>
      <c r="B60" s="12">
        <f>B54+B59</f>
        <v>316632</v>
      </c>
      <c r="C60" s="12">
        <f>C54+C59</f>
        <v>282304</v>
      </c>
      <c r="D60" s="12">
        <f>D54+D59</f>
        <v>227791</v>
      </c>
    </row>
    <row r="61" spans="1:4" x14ac:dyDescent="0.3">
      <c r="A61" t="s">
        <v>106</v>
      </c>
      <c r="B61" s="10"/>
      <c r="C61" s="10"/>
      <c r="D61" s="10"/>
    </row>
    <row r="62" spans="1:4" x14ac:dyDescent="0.3">
      <c r="A62" t="s">
        <v>107</v>
      </c>
      <c r="B62" s="10">
        <v>108</v>
      </c>
      <c r="C62" s="10">
        <v>106</v>
      </c>
      <c r="D62" s="10"/>
    </row>
    <row r="63" spans="1:4" x14ac:dyDescent="0.3">
      <c r="A63" s="5" t="s">
        <v>108</v>
      </c>
      <c r="B63" s="10">
        <v>75066</v>
      </c>
      <c r="C63" s="10">
        <v>55437</v>
      </c>
      <c r="D63" s="10">
        <v>42865</v>
      </c>
    </row>
    <row r="64" spans="1:4" x14ac:dyDescent="0.3">
      <c r="A64" s="1" t="s">
        <v>109</v>
      </c>
      <c r="B64" s="10">
        <v>83193</v>
      </c>
      <c r="C64" s="10">
        <v>85915</v>
      </c>
      <c r="D64" s="10">
        <v>52551</v>
      </c>
    </row>
    <row r="65" spans="1:4" x14ac:dyDescent="0.3">
      <c r="A65" s="1" t="s">
        <v>110</v>
      </c>
      <c r="B65" s="10">
        <v>-4487</v>
      </c>
      <c r="C65" s="10">
        <v>-1376</v>
      </c>
      <c r="D65" s="10">
        <v>-180</v>
      </c>
    </row>
    <row r="66" spans="1:4" x14ac:dyDescent="0.3">
      <c r="A66" s="11" t="s">
        <v>111</v>
      </c>
      <c r="B66" s="12">
        <v>146043</v>
      </c>
      <c r="C66" s="12">
        <v>138245</v>
      </c>
      <c r="D66" s="12">
        <v>93404</v>
      </c>
    </row>
    <row r="67" spans="1:4" ht="15" thickBot="1" x14ac:dyDescent="0.35">
      <c r="A67" s="13" t="s">
        <v>112</v>
      </c>
      <c r="B67" s="14">
        <v>462675</v>
      </c>
      <c r="C67" s="14">
        <v>420549</v>
      </c>
      <c r="D67" s="14">
        <v>321195</v>
      </c>
    </row>
    <row r="68" spans="1:4" ht="15" thickTop="1" x14ac:dyDescent="0.3"/>
    <row r="69" spans="1:4" x14ac:dyDescent="0.3">
      <c r="A69" s="38" t="s">
        <v>13</v>
      </c>
      <c r="B69" s="38"/>
      <c r="C69" s="38"/>
      <c r="D69" s="38"/>
    </row>
    <row r="70" spans="1:4" x14ac:dyDescent="0.3">
      <c r="B70" s="37" t="s">
        <v>56</v>
      </c>
      <c r="C70" s="37"/>
      <c r="D70" s="37"/>
    </row>
    <row r="71" spans="1:4" x14ac:dyDescent="0.3">
      <c r="B71" s="9">
        <v>2022</v>
      </c>
      <c r="C71" s="9">
        <v>2021</v>
      </c>
      <c r="D71" s="9">
        <v>2020</v>
      </c>
    </row>
    <row r="73" spans="1:4" x14ac:dyDescent="0.3">
      <c r="A73" s="9" t="s">
        <v>113</v>
      </c>
      <c r="B73" s="16">
        <v>36477</v>
      </c>
      <c r="C73" s="16">
        <v>42377</v>
      </c>
      <c r="D73" s="16">
        <v>36477</v>
      </c>
    </row>
    <row r="74" spans="1:4" x14ac:dyDescent="0.3">
      <c r="A74" t="s">
        <v>114</v>
      </c>
      <c r="B74" s="10"/>
      <c r="C74" s="10"/>
      <c r="D74" s="10"/>
    </row>
    <row r="75" spans="1:4" x14ac:dyDescent="0.3">
      <c r="A75" s="17" t="s">
        <v>115</v>
      </c>
      <c r="B75" s="16">
        <v>-2722</v>
      </c>
      <c r="C75" s="16">
        <v>33364</v>
      </c>
      <c r="D75" s="16">
        <v>21331</v>
      </c>
    </row>
    <row r="76" spans="1:4" x14ac:dyDescent="0.3">
      <c r="A76" s="24" t="s">
        <v>116</v>
      </c>
      <c r="B76" s="10"/>
      <c r="C76" s="10"/>
      <c r="D76" s="10"/>
    </row>
    <row r="77" spans="1:4" x14ac:dyDescent="0.3">
      <c r="A77" s="2" t="s">
        <v>117</v>
      </c>
      <c r="B77" s="10">
        <v>41921</v>
      </c>
      <c r="C77" s="10">
        <v>34433</v>
      </c>
      <c r="D77" s="10">
        <v>25180</v>
      </c>
    </row>
    <row r="78" spans="1:4" x14ac:dyDescent="0.3">
      <c r="A78" s="25" t="s">
        <v>118</v>
      </c>
      <c r="B78" s="10">
        <v>19621</v>
      </c>
      <c r="C78" s="10">
        <v>12757</v>
      </c>
      <c r="D78" s="10">
        <v>9208</v>
      </c>
    </row>
    <row r="79" spans="1:4" x14ac:dyDescent="0.3">
      <c r="A79" t="s">
        <v>119</v>
      </c>
      <c r="B79" s="10">
        <v>16966</v>
      </c>
      <c r="C79" s="10">
        <v>-14306</v>
      </c>
      <c r="D79" s="10">
        <v>-2582</v>
      </c>
    </row>
    <row r="80" spans="1:4" x14ac:dyDescent="0.3">
      <c r="A80" t="s">
        <v>120</v>
      </c>
      <c r="B80" s="10">
        <v>-8148</v>
      </c>
      <c r="C80" s="10">
        <v>-310</v>
      </c>
      <c r="D80" s="10">
        <v>-554</v>
      </c>
    </row>
    <row r="81" spans="1:4" x14ac:dyDescent="0.3">
      <c r="A81" t="s">
        <v>121</v>
      </c>
      <c r="B81" s="10"/>
      <c r="C81" s="10"/>
      <c r="D81" s="10"/>
    </row>
    <row r="82" spans="1:4" x14ac:dyDescent="0.3">
      <c r="A82" t="s">
        <v>86</v>
      </c>
      <c r="B82" s="10">
        <v>-2592</v>
      </c>
      <c r="C82" s="10">
        <v>-9487</v>
      </c>
      <c r="D82" s="10">
        <v>-2849</v>
      </c>
    </row>
    <row r="83" spans="1:4" x14ac:dyDescent="0.3">
      <c r="A83" t="s">
        <v>122</v>
      </c>
      <c r="B83" s="10">
        <v>-21897</v>
      </c>
      <c r="C83" s="10">
        <v>-18163</v>
      </c>
      <c r="D83" s="10">
        <v>-8169</v>
      </c>
    </row>
    <row r="84" spans="1:4" x14ac:dyDescent="0.3">
      <c r="A84" t="s">
        <v>96</v>
      </c>
      <c r="B84" s="10">
        <v>2945</v>
      </c>
      <c r="C84" s="10">
        <v>3602</v>
      </c>
      <c r="D84" s="10">
        <v>17480</v>
      </c>
    </row>
    <row r="85" spans="1:4" x14ac:dyDescent="0.3">
      <c r="A85" t="s">
        <v>97</v>
      </c>
      <c r="B85" s="10">
        <v>-1558</v>
      </c>
      <c r="C85" s="10">
        <v>2123</v>
      </c>
      <c r="D85" s="10">
        <v>5754</v>
      </c>
    </row>
    <row r="86" spans="1:4" x14ac:dyDescent="0.3">
      <c r="A86" t="s">
        <v>98</v>
      </c>
      <c r="B86" s="10">
        <v>2216</v>
      </c>
      <c r="C86" s="10">
        <v>2314</v>
      </c>
      <c r="D86" s="10">
        <v>1265</v>
      </c>
    </row>
    <row r="87" spans="1:4" x14ac:dyDescent="0.3">
      <c r="A87" t="s">
        <v>123</v>
      </c>
      <c r="B87" s="10">
        <v>46752</v>
      </c>
      <c r="C87" s="10">
        <v>46327</v>
      </c>
      <c r="D87" s="10">
        <v>66064</v>
      </c>
    </row>
    <row r="88" spans="1:4" x14ac:dyDescent="0.3">
      <c r="A88" s="11" t="s">
        <v>144</v>
      </c>
      <c r="B88" s="12">
        <f>+SUM(B73:B87)</f>
        <v>129981</v>
      </c>
      <c r="C88" s="12">
        <f>+SUM(C73:C87)</f>
        <v>135031</v>
      </c>
      <c r="D88" s="12">
        <f>+SUM(D73:D87)</f>
        <v>168605</v>
      </c>
    </row>
    <row r="89" spans="1:4" x14ac:dyDescent="0.3">
      <c r="A89" s="9" t="s">
        <v>145</v>
      </c>
      <c r="B89" s="12"/>
      <c r="C89" s="12"/>
      <c r="D89" s="12"/>
    </row>
    <row r="90" spans="1:4" x14ac:dyDescent="0.3">
      <c r="A90" t="s">
        <v>124</v>
      </c>
      <c r="B90" s="10">
        <v>-63645</v>
      </c>
      <c r="C90" s="10">
        <v>-61053</v>
      </c>
      <c r="D90" s="10">
        <v>-40140</v>
      </c>
    </row>
    <row r="91" spans="1:4" x14ac:dyDescent="0.3">
      <c r="A91" t="s">
        <v>125</v>
      </c>
      <c r="B91" s="10">
        <v>5324</v>
      </c>
      <c r="C91" s="10">
        <v>5657</v>
      </c>
      <c r="D91" s="10">
        <v>5096</v>
      </c>
    </row>
    <row r="92" spans="1:4" x14ac:dyDescent="0.3">
      <c r="A92" t="s">
        <v>126</v>
      </c>
      <c r="B92" s="10">
        <v>-8316</v>
      </c>
      <c r="C92" s="10">
        <v>-1985</v>
      </c>
      <c r="D92" s="10">
        <v>-2325</v>
      </c>
    </row>
    <row r="93" spans="1:4" x14ac:dyDescent="0.3">
      <c r="A93" t="s">
        <v>127</v>
      </c>
      <c r="B93" s="10">
        <v>31601</v>
      </c>
      <c r="C93" s="10">
        <v>59384</v>
      </c>
      <c r="D93" s="10">
        <v>50237</v>
      </c>
    </row>
    <row r="94" spans="1:4" x14ac:dyDescent="0.3">
      <c r="A94" t="s">
        <v>128</v>
      </c>
      <c r="B94" s="10">
        <v>-2565</v>
      </c>
      <c r="C94" s="10">
        <v>-60157</v>
      </c>
      <c r="D94" s="10">
        <v>-72479</v>
      </c>
    </row>
    <row r="95" spans="1:4" x14ac:dyDescent="0.3">
      <c r="A95" t="s">
        <v>129</v>
      </c>
      <c r="B95" s="10">
        <v>-37601</v>
      </c>
      <c r="C95" s="10">
        <v>-58154</v>
      </c>
      <c r="D95" s="10">
        <v>-59611</v>
      </c>
    </row>
    <row r="96" spans="1:4" x14ac:dyDescent="0.3">
      <c r="A96" s="11" t="s">
        <v>146</v>
      </c>
      <c r="B96" s="12">
        <f>+SUM(B90:B95)</f>
        <v>-75202</v>
      </c>
      <c r="C96" s="12">
        <f>+SUM(C90:C95)</f>
        <v>-116308</v>
      </c>
      <c r="D96" s="12">
        <f>+SUM(D90:D95)</f>
        <v>-119222</v>
      </c>
    </row>
    <row r="97" spans="1:4" x14ac:dyDescent="0.3">
      <c r="A97" s="9" t="s">
        <v>147</v>
      </c>
      <c r="B97" s="10"/>
      <c r="C97" s="10"/>
      <c r="D97" s="10"/>
    </row>
    <row r="98" spans="1:4" x14ac:dyDescent="0.3">
      <c r="A98" t="s">
        <v>130</v>
      </c>
      <c r="B98" s="10">
        <v>-6000</v>
      </c>
      <c r="C98" s="10"/>
      <c r="D98" s="10"/>
    </row>
    <row r="99" spans="1:4" x14ac:dyDescent="0.3">
      <c r="A99" s="24" t="s">
        <v>131</v>
      </c>
      <c r="B99" s="10">
        <v>41533</v>
      </c>
      <c r="C99" s="10">
        <v>7956</v>
      </c>
      <c r="D99" s="10">
        <v>6796</v>
      </c>
    </row>
    <row r="100" spans="1:4" x14ac:dyDescent="0.3">
      <c r="A100" t="s">
        <v>132</v>
      </c>
      <c r="B100" s="10">
        <v>-37554</v>
      </c>
      <c r="C100" s="10">
        <v>-7753</v>
      </c>
      <c r="D100" s="10">
        <v>-6177</v>
      </c>
    </row>
    <row r="101" spans="1:4" x14ac:dyDescent="0.3">
      <c r="A101" t="s">
        <v>133</v>
      </c>
      <c r="B101" s="10">
        <v>21166</v>
      </c>
      <c r="C101" s="10">
        <v>19003</v>
      </c>
      <c r="D101" s="10">
        <v>10525</v>
      </c>
    </row>
    <row r="102" spans="1:4" x14ac:dyDescent="0.3">
      <c r="A102" t="s">
        <v>134</v>
      </c>
      <c r="B102" s="10">
        <v>-1258</v>
      </c>
      <c r="C102" s="10">
        <v>-1590</v>
      </c>
      <c r="D102" s="10">
        <v>-1553</v>
      </c>
    </row>
    <row r="103" spans="1:4" x14ac:dyDescent="0.3">
      <c r="A103" t="s">
        <v>135</v>
      </c>
      <c r="B103" s="10">
        <v>-7941</v>
      </c>
      <c r="C103" s="10">
        <v>-11163</v>
      </c>
      <c r="D103" s="10">
        <v>-10642</v>
      </c>
    </row>
    <row r="104" spans="1:4" x14ac:dyDescent="0.3">
      <c r="A104" t="s">
        <v>136</v>
      </c>
      <c r="B104" s="10">
        <v>-248</v>
      </c>
      <c r="C104" s="10">
        <v>-162</v>
      </c>
      <c r="D104" s="10">
        <v>-53</v>
      </c>
    </row>
    <row r="105" spans="1:4" x14ac:dyDescent="0.3">
      <c r="A105" t="s">
        <v>137</v>
      </c>
      <c r="B105" s="10">
        <v>9718</v>
      </c>
      <c r="C105" s="10">
        <v>6291</v>
      </c>
      <c r="D105" s="10">
        <v>-1104</v>
      </c>
    </row>
    <row r="106" spans="1:4" x14ac:dyDescent="0.3">
      <c r="A106" s="24" t="s">
        <v>138</v>
      </c>
      <c r="B106" s="10">
        <v>-1093</v>
      </c>
      <c r="C106" s="10">
        <v>-364</v>
      </c>
      <c r="D106" s="10">
        <v>618</v>
      </c>
    </row>
    <row r="107" spans="1:4" x14ac:dyDescent="0.3">
      <c r="A107" t="s">
        <v>139</v>
      </c>
      <c r="B107" s="12">
        <v>17776</v>
      </c>
      <c r="C107" s="12">
        <v>-5900</v>
      </c>
      <c r="D107" s="12">
        <v>5967</v>
      </c>
    </row>
    <row r="108" spans="1:4" x14ac:dyDescent="0.3">
      <c r="A108" s="11" t="s">
        <v>148</v>
      </c>
      <c r="B108" s="12">
        <f>+SUM(B98:B107)</f>
        <v>36099</v>
      </c>
      <c r="C108" s="12">
        <f>+SUM(C98:C107)</f>
        <v>6318</v>
      </c>
      <c r="D108" s="12">
        <f>+SUM(D98:D107)</f>
        <v>4377</v>
      </c>
    </row>
    <row r="109" spans="1:4" x14ac:dyDescent="0.3">
      <c r="A109" s="11" t="s">
        <v>149</v>
      </c>
      <c r="B109" s="12">
        <f>+B88+B96+B108</f>
        <v>90878</v>
      </c>
      <c r="C109" s="12">
        <f>+C88+C96+C108</f>
        <v>25041</v>
      </c>
      <c r="D109" s="12">
        <f>+D88+D96+D108</f>
        <v>53760</v>
      </c>
    </row>
    <row r="110" spans="1:4" ht="15" thickBot="1" x14ac:dyDescent="0.35">
      <c r="A110" s="13" t="s">
        <v>150</v>
      </c>
      <c r="B110" s="14">
        <v>54253</v>
      </c>
      <c r="C110" s="14">
        <v>36477</v>
      </c>
      <c r="D110" s="14">
        <v>42377</v>
      </c>
    </row>
    <row r="111" spans="1:4" ht="15" thickTop="1" x14ac:dyDescent="0.3">
      <c r="B111" s="10"/>
      <c r="C111" s="10"/>
      <c r="D111" s="10"/>
    </row>
    <row r="112" spans="1:4" x14ac:dyDescent="0.3">
      <c r="A112" t="s">
        <v>140</v>
      </c>
      <c r="B112" s="10"/>
      <c r="C112" s="10"/>
      <c r="D112" s="10"/>
    </row>
    <row r="113" spans="1:4" x14ac:dyDescent="0.3">
      <c r="A113" t="s">
        <v>141</v>
      </c>
      <c r="B113" s="10">
        <v>6035</v>
      </c>
      <c r="C113" s="10">
        <v>3688</v>
      </c>
      <c r="D113" s="10">
        <v>1713</v>
      </c>
    </row>
    <row r="114" spans="1:4" x14ac:dyDescent="0.3">
      <c r="A114" t="s">
        <v>142</v>
      </c>
      <c r="B114" s="10">
        <v>374</v>
      </c>
      <c r="C114" s="10">
        <v>521</v>
      </c>
      <c r="D114" s="10">
        <v>612</v>
      </c>
    </row>
    <row r="115" spans="1:4" x14ac:dyDescent="0.3">
      <c r="A115" t="s">
        <v>143</v>
      </c>
      <c r="B115" s="10">
        <v>207</v>
      </c>
      <c r="C115" s="10">
        <v>153</v>
      </c>
      <c r="D115" s="10">
        <v>102</v>
      </c>
    </row>
  </sheetData>
  <mergeCells count="6">
    <mergeCell ref="B70:D70"/>
    <mergeCell ref="A2:D2"/>
    <mergeCell ref="B3:D3"/>
    <mergeCell ref="A29:D29"/>
    <mergeCell ref="B30:D30"/>
    <mergeCell ref="A69:D6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51"/>
  <sheetViews>
    <sheetView tabSelected="1" topLeftCell="A15" zoomScale="80" zoomScaleNormal="80" workbookViewId="0">
      <selection activeCell="F15" sqref="F1:F1048576"/>
    </sheetView>
  </sheetViews>
  <sheetFormatPr defaultRowHeight="14.4" x14ac:dyDescent="0.3"/>
  <cols>
    <col min="1" max="1" width="4.6640625" customWidth="1"/>
    <col min="2" max="2" width="44.88671875" customWidth="1"/>
    <col min="3" max="3" width="10.21875" bestFit="1" customWidth="1"/>
    <col min="4" max="4" width="10.33203125" bestFit="1" customWidth="1"/>
    <col min="5" max="5" width="10.21875" bestFit="1" customWidth="1"/>
    <col min="6" max="6" width="34.33203125" customWidth="1"/>
  </cols>
  <sheetData>
    <row r="1" spans="1:10" ht="60" customHeight="1" x14ac:dyDescent="0.5">
      <c r="A1" s="7"/>
      <c r="B1" s="19" t="s">
        <v>62</v>
      </c>
      <c r="C1" s="20"/>
      <c r="D1" s="20"/>
      <c r="E1" s="20"/>
      <c r="F1" s="20"/>
      <c r="G1" s="20"/>
      <c r="H1" s="20"/>
      <c r="I1" s="20"/>
      <c r="J1" s="20"/>
    </row>
    <row r="2" spans="1:10" x14ac:dyDescent="0.3">
      <c r="C2" s="37" t="s">
        <v>58</v>
      </c>
      <c r="D2" s="37"/>
      <c r="E2" s="37"/>
    </row>
    <row r="3" spans="1:10" x14ac:dyDescent="0.3">
      <c r="C3" s="9">
        <v>2022</v>
      </c>
      <c r="D3" s="9">
        <v>2021</v>
      </c>
      <c r="E3" s="9">
        <v>2020</v>
      </c>
    </row>
    <row r="4" spans="1:10" x14ac:dyDescent="0.3">
      <c r="A4" s="21">
        <v>1</v>
      </c>
      <c r="B4" s="9" t="s">
        <v>14</v>
      </c>
    </row>
    <row r="5" spans="1:10" x14ac:dyDescent="0.3">
      <c r="A5" s="21">
        <f>+A4+0.1</f>
        <v>1.1000000000000001</v>
      </c>
      <c r="B5" s="1" t="s">
        <v>15</v>
      </c>
      <c r="C5" s="39">
        <f>'Financial Statements'!B40/'Financial Statements'!B54</f>
        <v>0.9446435811136924</v>
      </c>
      <c r="D5" s="39">
        <f>'Financial Statements'!C40/'Financial Statements'!C54</f>
        <v>1.1357597739445826</v>
      </c>
      <c r="E5" s="39">
        <f>'Financial Statements'!D40/'Financial Statements'!D54</f>
        <v>1.0502274795268425</v>
      </c>
    </row>
    <row r="6" spans="1:10" x14ac:dyDescent="0.3">
      <c r="A6" s="21">
        <f t="shared" ref="A6:A13" si="0">+A5+0.1</f>
        <v>1.2000000000000002</v>
      </c>
      <c r="B6" s="1" t="s">
        <v>16</v>
      </c>
      <c r="C6" s="39">
        <f>('Financial Statements'!B33+'Financial Statements'!B35)/'Financial Statements'!B54</f>
        <v>0.6193843995546775</v>
      </c>
      <c r="D6" s="39">
        <f>('Financial Statements'!C33+'Financial Statements'!C35)/'Financial Statements'!C54</f>
        <v>0.48578718738138416</v>
      </c>
      <c r="E6" s="39">
        <f>('Financial Statements'!D33+'Financial Statements'!D35)/'Financial Statements'!D54</f>
        <v>0.52746765834553155</v>
      </c>
    </row>
    <row r="7" spans="1:10" x14ac:dyDescent="0.3">
      <c r="A7" s="21">
        <f t="shared" si="0"/>
        <v>1.3000000000000003</v>
      </c>
      <c r="B7" s="1" t="s">
        <v>17</v>
      </c>
      <c r="C7" s="39">
        <f>('Financial Statements'!B33+'Financial Statements'!B34)/'Financial Statements'!B54</f>
        <v>0.45063805962945563</v>
      </c>
      <c r="D7" s="39">
        <f>('Financial Statements'!C33+'Financial Statements'!C34)/'Financial Statements'!C54</f>
        <v>0.67513671572968947</v>
      </c>
      <c r="E7" s="39">
        <f>('Financial Statements'!D33+'Financial Statements'!D34)/'Financial Statements'!D54</f>
        <v>0.66776911817066897</v>
      </c>
    </row>
    <row r="8" spans="1:10" x14ac:dyDescent="0.3">
      <c r="A8" s="21">
        <f t="shared" si="0"/>
        <v>1.4000000000000004</v>
      </c>
      <c r="B8" s="1" t="s">
        <v>18</v>
      </c>
      <c r="C8" s="39">
        <f>('Financial Statements'!B15-'Financial Statements'!B77)/365</f>
        <v>1259.7643835616439</v>
      </c>
      <c r="D8" s="39">
        <f>('Financial Statements'!C15-'Financial Statements'!C77)/365</f>
        <v>1124.6849315068494</v>
      </c>
      <c r="E8" s="39">
        <f>('Financial Statements'!D15-'Financial Statements'!D77)/365</f>
        <v>925.98630136986299</v>
      </c>
      <c r="F8" t="s">
        <v>151</v>
      </c>
    </row>
    <row r="9" spans="1:10" x14ac:dyDescent="0.3">
      <c r="A9" s="21">
        <f t="shared" si="0"/>
        <v>1.5000000000000004</v>
      </c>
      <c r="B9" s="1" t="s">
        <v>19</v>
      </c>
      <c r="C9" s="39">
        <f>('Financial Statements'!B36/'Financial Statements'!B9)*365</f>
        <v>43.4781065744328</v>
      </c>
      <c r="D9" s="39">
        <f>('Financial Statements'!C36/'Financial Statements'!C9)*365</f>
        <v>43.744675851129458</v>
      </c>
      <c r="E9" s="39">
        <f>('Financial Statements'!D36/'Financial Statements'!D9)*365</f>
        <v>37.226379834295585</v>
      </c>
    </row>
    <row r="10" spans="1:10" x14ac:dyDescent="0.3">
      <c r="A10" s="21">
        <f t="shared" si="0"/>
        <v>1.6000000000000005</v>
      </c>
      <c r="B10" s="1" t="s">
        <v>20</v>
      </c>
      <c r="C10" s="39">
        <f>('Financial Statements'!B50*365)/'Financial Statements'!B9</f>
        <v>100.59169548975007</v>
      </c>
      <c r="D10" s="39">
        <f>('Financial Statements'!C50*365)/'Financial Statements'!C9</f>
        <v>105.42681314807743</v>
      </c>
      <c r="E10" s="39">
        <f>('Financial Statements'!D50*365)/'Financial Statements'!D9</f>
        <v>113.48452896826927</v>
      </c>
    </row>
    <row r="11" spans="1:10" x14ac:dyDescent="0.3">
      <c r="A11" s="21">
        <f t="shared" si="0"/>
        <v>1.7000000000000006</v>
      </c>
      <c r="B11" s="1" t="s">
        <v>21</v>
      </c>
      <c r="C11" s="39">
        <f>('Financial Statements'!B35/'Financial Statements'!B8)*365</f>
        <v>30.081539661817608</v>
      </c>
      <c r="D11" s="39">
        <f>('Financial Statements'!C35/'Financial Statements'!C8)*365</f>
        <v>25.552688039299991</v>
      </c>
      <c r="E11" s="39">
        <f>('Financial Statements'!D35/'Financial Statements'!D8)*365</f>
        <v>23.202966347548593</v>
      </c>
    </row>
    <row r="12" spans="1:10" x14ac:dyDescent="0.3">
      <c r="A12" s="21">
        <f t="shared" si="0"/>
        <v>1.8000000000000007</v>
      </c>
      <c r="B12" s="1" t="s">
        <v>22</v>
      </c>
      <c r="C12" s="39">
        <f>C9+C11-C10</f>
        <v>-27.03204925349965</v>
      </c>
      <c r="D12" s="39">
        <f>D9+D11-D10</f>
        <v>-36.129449257647977</v>
      </c>
      <c r="E12" s="39">
        <f>E9+E11-E10</f>
        <v>-53.055182786425092</v>
      </c>
    </row>
    <row r="13" spans="1:10" x14ac:dyDescent="0.3">
      <c r="A13" s="21">
        <f t="shared" si="0"/>
        <v>1.9000000000000008</v>
      </c>
      <c r="B13" s="1" t="s">
        <v>23</v>
      </c>
      <c r="C13" s="36">
        <f>C14/'Financial Statements'!B8</f>
        <v>-1.6735962084349094E-2</v>
      </c>
      <c r="D13" s="36">
        <f>D14/'Financial Statements'!C8</f>
        <v>4.1109186032156859E-2</v>
      </c>
      <c r="E13" s="36">
        <f>E14/'Financial Statements'!D8</f>
        <v>1.6442869576028845E-2</v>
      </c>
    </row>
    <row r="14" spans="1:10" x14ac:dyDescent="0.3">
      <c r="A14" s="21"/>
      <c r="B14" s="18" t="s">
        <v>24</v>
      </c>
      <c r="C14" s="10">
        <f>'Financial Statements'!B40-'Financial Statements'!B54</f>
        <v>-8602</v>
      </c>
      <c r="D14" s="10">
        <f>'Financial Statements'!C40-'Financial Statements'!C54</f>
        <v>19314</v>
      </c>
      <c r="E14" s="10">
        <f>'Financial Statements'!D40-'Financial Statements'!D54</f>
        <v>6348</v>
      </c>
    </row>
    <row r="15" spans="1:10" x14ac:dyDescent="0.3">
      <c r="A15" s="21"/>
    </row>
    <row r="16" spans="1:10" x14ac:dyDescent="0.3">
      <c r="A16" s="21">
        <f>+A4+1</f>
        <v>2</v>
      </c>
      <c r="B16" s="22" t="s">
        <v>25</v>
      </c>
    </row>
    <row r="17" spans="1:6" x14ac:dyDescent="0.3">
      <c r="A17" s="21">
        <f>+A16+0.1</f>
        <v>2.1</v>
      </c>
      <c r="B17" s="1" t="s">
        <v>11</v>
      </c>
      <c r="C17" s="36">
        <f>('Financial Statements'!B8-'Financial Statements'!B9)/'Financial Statements'!B8</f>
        <v>0.43805339865326287</v>
      </c>
      <c r="D17" s="36">
        <f>('Financial Statements'!C8-'Financial Statements'!C9)/'Financial Statements'!C8</f>
        <v>0.42032514441639601</v>
      </c>
      <c r="E17" s="36">
        <f>('Financial Statements'!D8-'Financial Statements'!D9)/'Financial Statements'!D8</f>
        <v>0.3956779186870571</v>
      </c>
    </row>
    <row r="18" spans="1:6" x14ac:dyDescent="0.3">
      <c r="A18" s="21">
        <f>+A17+0.1</f>
        <v>2.2000000000000002</v>
      </c>
      <c r="B18" s="1" t="s">
        <v>26</v>
      </c>
      <c r="C18" s="36">
        <f>C19/'Financial Statements'!B8</f>
        <v>0.10539064521589235</v>
      </c>
      <c r="D18" s="36">
        <f>D19/'Financial Statements'!C8</f>
        <v>0.12624355607017126</v>
      </c>
      <c r="E18" s="36">
        <f>E19/'Financial Statements'!D8</f>
        <v>0.12453634630527581</v>
      </c>
    </row>
    <row r="19" spans="1:6" x14ac:dyDescent="0.3">
      <c r="A19" s="21"/>
      <c r="B19" s="18" t="s">
        <v>27</v>
      </c>
      <c r="C19">
        <f>'Financial Statements'!B16+'Financial Statements'!B77</f>
        <v>54169</v>
      </c>
      <c r="D19">
        <f>'Financial Statements'!C16+'Financial Statements'!C77</f>
        <v>59312</v>
      </c>
      <c r="E19">
        <f>'Financial Statements'!D16+'Financial Statements'!D77</f>
        <v>48079</v>
      </c>
    </row>
    <row r="20" spans="1:6" x14ac:dyDescent="0.3">
      <c r="A20" s="21">
        <f>+A18+0.1</f>
        <v>2.3000000000000003</v>
      </c>
      <c r="B20" s="1" t="s">
        <v>28</v>
      </c>
      <c r="C20">
        <f>C21/'Financial Statements'!B8</f>
        <v>2.3829581912242232E-2</v>
      </c>
      <c r="D20">
        <f>D21/'Financial Statements'!C8</f>
        <v>5.2954097509269465E-2</v>
      </c>
      <c r="E20" s="36">
        <f>E21/'Financial Statements'!D8</f>
        <v>5.9313999751336569E-2</v>
      </c>
    </row>
    <row r="21" spans="1:6" x14ac:dyDescent="0.3">
      <c r="A21" s="21"/>
      <c r="B21" s="18" t="s">
        <v>29</v>
      </c>
      <c r="C21">
        <f>'Financial Statements'!B16</f>
        <v>12248</v>
      </c>
      <c r="D21">
        <f>'Financial Statements'!C16</f>
        <v>24879</v>
      </c>
      <c r="E21">
        <f>'Financial Statements'!D16</f>
        <v>22899</v>
      </c>
    </row>
    <row r="22" spans="1:6" x14ac:dyDescent="0.3">
      <c r="A22" s="21">
        <f>+A20+0.1</f>
        <v>2.4000000000000004</v>
      </c>
      <c r="B22" s="1" t="s">
        <v>30</v>
      </c>
      <c r="C22">
        <f>'Financial Statements'!B20*100/'Financial Statements'!B8</f>
        <v>-0.52958950004183014</v>
      </c>
      <c r="D22">
        <f>'Financial Statements'!C20*100/'Financial Statements'!C8</f>
        <v>7.1014128755145567</v>
      </c>
      <c r="E22">
        <f>'Financial Statements'!D20*100/'Financial Statements'!D8</f>
        <v>5.5252496995316838</v>
      </c>
      <c r="F22" t="s">
        <v>152</v>
      </c>
    </row>
    <row r="23" spans="1:6" x14ac:dyDescent="0.3">
      <c r="A23" s="21"/>
    </row>
    <row r="24" spans="1:6" x14ac:dyDescent="0.3">
      <c r="A24" s="21">
        <f>+A16+1</f>
        <v>3</v>
      </c>
      <c r="B24" s="9" t="s">
        <v>31</v>
      </c>
    </row>
    <row r="25" spans="1:6" x14ac:dyDescent="0.3">
      <c r="A25" s="21">
        <f t="shared" ref="A25:A30" si="1">+A24+0.1</f>
        <v>3.1</v>
      </c>
      <c r="B25" s="1" t="s">
        <v>32</v>
      </c>
      <c r="C25" s="39">
        <f>'Financial Statements'!B57/'Financial Statements'!B66</f>
        <v>0.45979608745369516</v>
      </c>
      <c r="D25" s="39">
        <f>'Financial Statements'!C57/'Financial Statements'!C66</f>
        <v>0.35259141379435061</v>
      </c>
      <c r="E25" s="39">
        <f>'Financial Statements'!D57/'Financial Statements'!D66</f>
        <v>0.34062781037214679</v>
      </c>
    </row>
    <row r="26" spans="1:6" x14ac:dyDescent="0.3">
      <c r="A26" s="21">
        <f t="shared" si="1"/>
        <v>3.2</v>
      </c>
      <c r="B26" s="1" t="s">
        <v>33</v>
      </c>
      <c r="C26" s="39">
        <f>'Financial Statements'!B57/'Financial Statements'!B47</f>
        <v>0.14513427351812827</v>
      </c>
      <c r="D26" s="39">
        <f>'Financial Statements'!C57/'Financial Statements'!C47</f>
        <v>0.11590563763081116</v>
      </c>
      <c r="E26" s="39">
        <f>'Financial Statements'!D57/'Financial Statements'!D47</f>
        <v>9.9055091144009094E-2</v>
      </c>
    </row>
    <row r="27" spans="1:6" x14ac:dyDescent="0.3">
      <c r="A27" s="21">
        <f t="shared" si="1"/>
        <v>3.3000000000000003</v>
      </c>
      <c r="B27" s="1" t="s">
        <v>34</v>
      </c>
      <c r="C27" s="39">
        <f>'Financial Statements'!B57/('Financial Statements'!B66+'Financial Statements'!B57)</f>
        <v>0.31497281805687805</v>
      </c>
      <c r="D27" s="39">
        <f>'Financial Statements'!C57/('Financial Statements'!C66+'Financial Statements'!C57)</f>
        <v>0.26067843562990334</v>
      </c>
      <c r="E27" s="39">
        <f>'Financial Statements'!D57/('Financial Statements'!D66+'Financial Statements'!D57)</f>
        <v>0.2540808177607411</v>
      </c>
    </row>
    <row r="28" spans="1:6" x14ac:dyDescent="0.3">
      <c r="A28" s="21">
        <f t="shared" si="1"/>
        <v>3.4000000000000004</v>
      </c>
      <c r="B28" s="1" t="s">
        <v>35</v>
      </c>
      <c r="C28" s="39">
        <f>C21/('Financial Statements'!B114+'Financial Statements'!B115)</f>
        <v>21.080895008605854</v>
      </c>
      <c r="D28" s="39">
        <f>D21/('Financial Statements'!C114+'Financial Statements'!C115)</f>
        <v>36.912462908011868</v>
      </c>
      <c r="E28" s="39">
        <f>E21/('Financial Statements'!D114+'Financial Statements'!D115)</f>
        <v>32.071428571428569</v>
      </c>
    </row>
    <row r="29" spans="1:6" x14ac:dyDescent="0.3">
      <c r="A29" s="21">
        <f t="shared" si="1"/>
        <v>3.5000000000000004</v>
      </c>
      <c r="B29" s="1" t="s">
        <v>36</v>
      </c>
      <c r="C29" s="39">
        <f>C21/('Financial Statements'!B114+'Financial Statements'!B115+'Financial Statements'!B102)</f>
        <v>-18.091580502215656</v>
      </c>
      <c r="D29" s="39">
        <f>D21/('Financial Statements'!C114+'Financial Statements'!C115+'Financial Statements'!C102)</f>
        <v>-27.160480349344979</v>
      </c>
      <c r="E29" s="39">
        <f>E21/('Financial Statements'!D114+'Financial Statements'!D115+'Financial Statements'!D102)</f>
        <v>-27.293206197854587</v>
      </c>
    </row>
    <row r="30" spans="1:6" x14ac:dyDescent="0.3">
      <c r="A30" s="21">
        <f t="shared" si="1"/>
        <v>3.6000000000000005</v>
      </c>
      <c r="B30" s="1" t="s">
        <v>37</v>
      </c>
      <c r="C30" s="39">
        <f>C31/'Financial Statements'!B26</f>
        <v>7.0648738835999607</v>
      </c>
      <c r="D30" s="39">
        <f>D31/'Financial Statements'!C26</f>
        <v>6.7401903651903652</v>
      </c>
      <c r="E30" s="39">
        <f>E31/'Financial Statements'!D26</f>
        <v>7.8576191410080405</v>
      </c>
    </row>
    <row r="31" spans="1:6" x14ac:dyDescent="0.3">
      <c r="A31" s="21"/>
      <c r="B31" s="18" t="s">
        <v>38</v>
      </c>
      <c r="C31" s="10">
        <f>'Financial Statements'!B87+'Financial Statements'!B91+('Financial Statements'!B101+'Financial Statements'!B102)</f>
        <v>71984</v>
      </c>
      <c r="D31" s="10">
        <f>'Financial Statements'!C87+'Financial Statements'!C91+('Financial Statements'!C101+'Financial Statements'!C102)</f>
        <v>69397</v>
      </c>
      <c r="E31" s="10">
        <f>'Financial Statements'!D87+'Financial Statements'!D91+('Financial Statements'!D101+'Financial Statements'!D102)</f>
        <v>80132</v>
      </c>
      <c r="F31" t="s">
        <v>153</v>
      </c>
    </row>
    <row r="32" spans="1:6" x14ac:dyDescent="0.3">
      <c r="A32" s="21"/>
    </row>
    <row r="33" spans="1:5" x14ac:dyDescent="0.3">
      <c r="A33" s="21">
        <f>+A24+1</f>
        <v>4</v>
      </c>
      <c r="B33" s="22" t="s">
        <v>39</v>
      </c>
    </row>
    <row r="34" spans="1:5" x14ac:dyDescent="0.3">
      <c r="A34" s="21">
        <f>+A33+0.1</f>
        <v>4.0999999999999996</v>
      </c>
      <c r="B34" s="1" t="s">
        <v>40</v>
      </c>
      <c r="C34" s="40">
        <f>'Financial Statements'!B8/'Financial Statements'!B47</f>
        <v>1.1108942562273734</v>
      </c>
      <c r="D34" s="40">
        <f>'Financial Statements'!C8/'Financial Statements'!C47</f>
        <v>1.1171635172120253</v>
      </c>
      <c r="E34" s="40">
        <f>'Financial Statements'!D8/'Financial Statements'!D47</f>
        <v>1.2019614253023865</v>
      </c>
    </row>
    <row r="35" spans="1:5" x14ac:dyDescent="0.3">
      <c r="A35" s="21">
        <f>+A34+0.1</f>
        <v>4.1999999999999993</v>
      </c>
      <c r="B35" s="1" t="s">
        <v>41</v>
      </c>
      <c r="C35" s="40">
        <f>'Financial Statements'!B8/'Financial Statements'!B42</f>
        <v>2.7527675869640897</v>
      </c>
      <c r="D35" s="40">
        <f>'Financial Statements'!C8/'Financial Statements'!C42</f>
        <v>2.9312395106094922</v>
      </c>
      <c r="E35" s="40">
        <f>'Financial Statements'!D8/'Financial Statements'!D42</f>
        <v>3.4130523188995174</v>
      </c>
    </row>
    <row r="36" spans="1:5" x14ac:dyDescent="0.3">
      <c r="A36" s="21">
        <f>+A35+0.1</f>
        <v>4.2999999999999989</v>
      </c>
      <c r="B36" s="1" t="s">
        <v>42</v>
      </c>
      <c r="C36" s="40">
        <f>'Financial Statements'!B9/AVERAGE('Financial Statements'!B36:C36)</f>
        <v>8.6160340070102173</v>
      </c>
      <c r="D36" s="40">
        <f>'Financial Statements'!C9/AVERAGE('Financial Statements'!C36:D36)</f>
        <v>9.6515991849029863</v>
      </c>
      <c r="E36" s="40">
        <f>'Financial Statements'!D9/AVERAGE('Financial Statements'!D36:E36)</f>
        <v>9.8048749737339769</v>
      </c>
    </row>
    <row r="37" spans="1:5" x14ac:dyDescent="0.3">
      <c r="A37" s="21">
        <f>+A36+0.1</f>
        <v>4.3999999999999986</v>
      </c>
      <c r="B37" s="1" t="s">
        <v>43</v>
      </c>
      <c r="C37" s="40">
        <f>'Financial Statements'!B20/'Financial Statements'!B47</f>
        <v>-5.8831793375479545E-3</v>
      </c>
      <c r="D37" s="40">
        <f>'Financial Statements'!C20/'Financial Statements'!C47</f>
        <v>7.9334393851846041E-2</v>
      </c>
      <c r="E37" s="40">
        <f>'Financial Statements'!D20/'Financial Statements'!D47</f>
        <v>6.6411370040006856E-2</v>
      </c>
    </row>
    <row r="38" spans="1:5" x14ac:dyDescent="0.3">
      <c r="A38" s="21"/>
    </row>
    <row r="39" spans="1:5" x14ac:dyDescent="0.3">
      <c r="A39" s="21">
        <f>+A33+1</f>
        <v>5</v>
      </c>
      <c r="B39" s="22" t="s">
        <v>44</v>
      </c>
    </row>
    <row r="40" spans="1:5" x14ac:dyDescent="0.3">
      <c r="A40" s="21">
        <f>+A39+0.1</f>
        <v>5.0999999999999996</v>
      </c>
      <c r="B40" s="1" t="s">
        <v>45</v>
      </c>
      <c r="C40" s="41">
        <f>162/C41</f>
        <v>-606.39897134459966</v>
      </c>
      <c r="D40" s="41">
        <f>166.7/D41</f>
        <v>51.442968469008512</v>
      </c>
      <c r="E40" s="41">
        <f>133.7/E41</f>
        <v>63.919769349772622</v>
      </c>
    </row>
    <row r="41" spans="1:5" x14ac:dyDescent="0.3">
      <c r="A41" s="21">
        <f>+A40+0.1</f>
        <v>5.1999999999999993</v>
      </c>
      <c r="B41" s="18" t="s">
        <v>46</v>
      </c>
      <c r="C41" s="41">
        <f>'Financial Statements'!B20/'Financial Statements'!B26</f>
        <v>-0.2671508489547551</v>
      </c>
      <c r="D41" s="41">
        <f>'Financial Statements'!C20/'Financial Statements'!C26</f>
        <v>3.2404817404817403</v>
      </c>
      <c r="E41" s="41">
        <f>'Financial Statements'!D20/'Financial Statements'!D26</f>
        <v>2.0916846440478527</v>
      </c>
    </row>
    <row r="42" spans="1:5" x14ac:dyDescent="0.3">
      <c r="A42" s="21">
        <f>+A41+0.1</f>
        <v>5.2999999999999989</v>
      </c>
      <c r="B42" s="1" t="s">
        <v>47</v>
      </c>
      <c r="C42" s="41">
        <f>162/C43</f>
        <v>11.302273987798115</v>
      </c>
      <c r="D42" s="41">
        <f>166.7/D43</f>
        <v>12.415228037180368</v>
      </c>
      <c r="E42" s="41">
        <f>133.7/E43</f>
        <v>14.597582544644768</v>
      </c>
    </row>
    <row r="43" spans="1:5" x14ac:dyDescent="0.3">
      <c r="A43" s="21">
        <f>+A42+0.1</f>
        <v>5.3999999999999986</v>
      </c>
      <c r="B43" s="18" t="s">
        <v>48</v>
      </c>
      <c r="C43" s="41">
        <f>'Financial Statements'!B66/'Financial Statements'!B26</f>
        <v>14.333398763372264</v>
      </c>
      <c r="D43" s="41">
        <f>'Financial Statements'!C66/'Financial Statements'!C26</f>
        <v>13.427059052059052</v>
      </c>
      <c r="E43" s="41">
        <f>'Financial Statements'!D66/'Financial Statements'!D26</f>
        <v>9.1590507942733872</v>
      </c>
    </row>
    <row r="44" spans="1:5" x14ac:dyDescent="0.3">
      <c r="A44" s="21">
        <f>+A43+0.1</f>
        <v>5.4999999999999982</v>
      </c>
      <c r="B44" s="1" t="s">
        <v>49</v>
      </c>
      <c r="C44" s="41"/>
      <c r="D44" s="41"/>
      <c r="E44" s="41"/>
    </row>
    <row r="45" spans="1:5" x14ac:dyDescent="0.3">
      <c r="A45" s="21"/>
      <c r="B45" s="18" t="s">
        <v>50</v>
      </c>
      <c r="C45" s="41"/>
      <c r="D45" s="41"/>
      <c r="E45" s="41"/>
    </row>
    <row r="46" spans="1:5" x14ac:dyDescent="0.3">
      <c r="A46" s="21">
        <f>+A44+0.1</f>
        <v>5.5999999999999979</v>
      </c>
      <c r="B46" s="1" t="s">
        <v>51</v>
      </c>
      <c r="C46" s="41"/>
      <c r="D46" s="41"/>
      <c r="E46" s="41"/>
    </row>
    <row r="47" spans="1:5" x14ac:dyDescent="0.3">
      <c r="A47" s="21">
        <f>+A45+0.1</f>
        <v>0.1</v>
      </c>
      <c r="B47" s="1" t="s">
        <v>52</v>
      </c>
      <c r="C47" s="42">
        <f>'Financial Statements'!B20/'Financial Statements'!B66</f>
        <v>-1.8638346240490815E-2</v>
      </c>
      <c r="D47" s="42">
        <f>'Financial Statements'!C20/'Financial Statements'!C66</f>
        <v>0.2413396506202756</v>
      </c>
      <c r="E47" s="42">
        <f>'Financial Statements'!D20/'Financial Statements'!D66</f>
        <v>0.22837351719412444</v>
      </c>
    </row>
    <row r="48" spans="1:5" x14ac:dyDescent="0.3">
      <c r="A48" s="21">
        <f>+A46+0.1</f>
        <v>5.6999999999999975</v>
      </c>
      <c r="B48" s="1" t="s">
        <v>53</v>
      </c>
      <c r="C48" s="42">
        <f>C21/('Financial Statements'!B57+'Financial Statements'!B66)</f>
        <v>5.745029151989043E-2</v>
      </c>
      <c r="D48" s="42">
        <f>D21/('Financial Statements'!C57+'Financial Statements'!C66)</f>
        <v>0.13305060725497223</v>
      </c>
      <c r="E48" s="42">
        <f>E21/('Financial Statements'!D57+'Financial Statements'!D66)</f>
        <v>0.18287014853857211</v>
      </c>
    </row>
    <row r="49" spans="1:6" x14ac:dyDescent="0.3">
      <c r="A49" s="21">
        <f>+A47+0.1</f>
        <v>0.2</v>
      </c>
      <c r="B49" s="1" t="s">
        <v>43</v>
      </c>
      <c r="C49" s="42">
        <f>'Financial Statements'!B20/'Financial Statements'!B47</f>
        <v>-5.8831793375479545E-3</v>
      </c>
      <c r="D49" s="42">
        <f>'Financial Statements'!C20/'Financial Statements'!C47</f>
        <v>7.9334393851846041E-2</v>
      </c>
      <c r="E49" s="42">
        <f>'Financial Statements'!D20/'Financial Statements'!D47</f>
        <v>6.6411370040006856E-2</v>
      </c>
    </row>
    <row r="50" spans="1:6" x14ac:dyDescent="0.3">
      <c r="A50" s="21">
        <f>+A48+0.1</f>
        <v>5.7999999999999972</v>
      </c>
      <c r="B50" s="1" t="s">
        <v>54</v>
      </c>
      <c r="C50" s="41"/>
      <c r="D50" s="41"/>
      <c r="E50" s="41"/>
      <c r="F50" t="s">
        <v>154</v>
      </c>
    </row>
    <row r="51" spans="1:6" x14ac:dyDescent="0.3">
      <c r="A51" s="21"/>
      <c r="B51" s="18" t="s">
        <v>55</v>
      </c>
      <c r="C51" s="41"/>
      <c r="D51" s="41"/>
      <c r="E51" s="41"/>
    </row>
  </sheetData>
  <mergeCells count="1">
    <mergeCell ref="C2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Financial Statements</vt:lpstr>
      <vt:lpstr>List of Ratios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Shamla Yoosoof</cp:lastModifiedBy>
  <dcterms:created xsi:type="dcterms:W3CDTF">2020-05-19T16:15:53Z</dcterms:created>
  <dcterms:modified xsi:type="dcterms:W3CDTF">2023-10-23T16:45:06Z</dcterms:modified>
</cp:coreProperties>
</file>