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mmy/Downloads/"/>
    </mc:Choice>
  </mc:AlternateContent>
  <xr:revisionPtr revIDLastSave="0" documentId="13_ncr:1_{F66978BD-6A90-1C44-9FA6-1D9D8C977A52}" xr6:coauthVersionLast="47" xr6:coauthVersionMax="47" xr10:uidLastSave="{00000000-0000-0000-0000-000000000000}"/>
  <bookViews>
    <workbookView xWindow="3460" yWindow="0" windowWidth="30140" windowHeight="21000" activeTab="2" xr2:uid="{00000000-000D-0000-FFFF-FFFF00000000}"/>
  </bookViews>
  <sheets>
    <sheet name="Instructions" sheetId="2" r:id="rId1"/>
    <sheet name="Financial Statements" sheetId="1" r:id="rId2"/>
    <sheet name="List of Rati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3" l="1"/>
  <c r="D70" i="3"/>
  <c r="C69" i="3"/>
  <c r="D69" i="3"/>
  <c r="C68" i="3"/>
  <c r="D68" i="3"/>
  <c r="C67" i="3"/>
  <c r="D67" i="3"/>
  <c r="C65" i="3"/>
  <c r="D65" i="3"/>
  <c r="C64" i="3"/>
  <c r="D64" i="3"/>
  <c r="C62" i="3"/>
  <c r="D62" i="3"/>
  <c r="C61" i="3"/>
  <c r="D61" i="3"/>
  <c r="C60" i="3"/>
  <c r="D60" i="3"/>
  <c r="C59" i="3"/>
  <c r="D59" i="3"/>
  <c r="C56" i="3"/>
  <c r="D56" i="3"/>
  <c r="C58" i="3"/>
  <c r="D58" i="3"/>
  <c r="C57" i="3"/>
  <c r="D57" i="3"/>
  <c r="B61" i="3"/>
  <c r="E82" i="3"/>
  <c r="D82" i="3"/>
  <c r="C82" i="3"/>
  <c r="C84" i="3"/>
  <c r="E79" i="3"/>
  <c r="D79" i="3"/>
  <c r="C79" i="3"/>
  <c r="E78" i="3"/>
  <c r="D78" i="3"/>
  <c r="C78" i="3"/>
  <c r="E77" i="3"/>
  <c r="D77" i="3"/>
  <c r="C77" i="3"/>
  <c r="E76" i="3"/>
  <c r="D76" i="3"/>
  <c r="C76" i="3"/>
  <c r="E74" i="3"/>
  <c r="D74" i="3"/>
  <c r="C74" i="3"/>
  <c r="E73" i="3"/>
  <c r="D73" i="3"/>
  <c r="C73" i="3"/>
  <c r="O21" i="3"/>
  <c r="C31" i="3" s="1"/>
  <c r="C30" i="3" s="1"/>
  <c r="P21" i="3"/>
  <c r="D31" i="3" s="1"/>
  <c r="D30" i="3" s="1"/>
  <c r="E51" i="3"/>
  <c r="D51" i="3"/>
  <c r="C51" i="3"/>
  <c r="E46" i="3"/>
  <c r="D46" i="3"/>
  <c r="C46" i="3"/>
  <c r="E45" i="3"/>
  <c r="D45" i="3"/>
  <c r="C45" i="3"/>
  <c r="E44" i="3"/>
  <c r="D44" i="3"/>
  <c r="C44" i="3"/>
  <c r="E6" i="3"/>
  <c r="D6" i="3"/>
  <c r="C6" i="3"/>
  <c r="E43" i="3"/>
  <c r="E42" i="3" s="1"/>
  <c r="D43" i="3"/>
  <c r="D42" i="3" s="1"/>
  <c r="C43" i="3"/>
  <c r="C42" i="3" s="1"/>
  <c r="E41" i="3"/>
  <c r="E40" i="3" s="1"/>
  <c r="D41" i="3"/>
  <c r="D40" i="3" s="1"/>
  <c r="C41" i="3"/>
  <c r="C40" i="3" s="1"/>
  <c r="E29" i="3"/>
  <c r="D29" i="3"/>
  <c r="C29" i="3"/>
  <c r="E28" i="3"/>
  <c r="D28" i="3"/>
  <c r="C28" i="3"/>
  <c r="E27" i="3"/>
  <c r="D27" i="3"/>
  <c r="C27" i="3"/>
  <c r="D84" i="3" l="1"/>
  <c r="C83" i="3"/>
  <c r="D83" i="3"/>
  <c r="D108" i="1"/>
  <c r="C108" i="1"/>
  <c r="B108" i="1"/>
  <c r="D99" i="1"/>
  <c r="C99" i="1"/>
  <c r="B99" i="1"/>
  <c r="D68" i="1" l="1"/>
  <c r="E25" i="3" s="1"/>
  <c r="C68" i="1"/>
  <c r="D25" i="3" s="1"/>
  <c r="B68" i="1"/>
  <c r="C25" i="3" s="1"/>
  <c r="D61" i="1"/>
  <c r="C61" i="1"/>
  <c r="B61" i="1"/>
  <c r="D56" i="1"/>
  <c r="C56" i="1"/>
  <c r="C62" i="1" s="1"/>
  <c r="D7" i="3" s="1"/>
  <c r="B56" i="1"/>
  <c r="D47" i="1"/>
  <c r="C47" i="1"/>
  <c r="B47" i="1"/>
  <c r="D42" i="1"/>
  <c r="C42" i="1"/>
  <c r="B42" i="1"/>
  <c r="D17" i="1"/>
  <c r="C17" i="1"/>
  <c r="B17" i="1"/>
  <c r="D12" i="1"/>
  <c r="C12" i="1"/>
  <c r="B12" i="1"/>
  <c r="D8" i="1"/>
  <c r="C8" i="1"/>
  <c r="B8" i="1"/>
  <c r="E3" i="3"/>
  <c r="D3" i="3"/>
  <c r="C3" i="3"/>
  <c r="D33" i="1"/>
  <c r="D73" i="1" s="1"/>
  <c r="C33" i="1"/>
  <c r="C73" i="1" s="1"/>
  <c r="B33" i="1"/>
  <c r="B73" i="1" s="1"/>
  <c r="C13" i="1" l="1"/>
  <c r="D35" i="3"/>
  <c r="D34" i="3"/>
  <c r="P3" i="3"/>
  <c r="P15" i="3" s="1"/>
  <c r="D11" i="3" s="1"/>
  <c r="Q4" i="3"/>
  <c r="Q16" i="3" s="1"/>
  <c r="Q11" i="3"/>
  <c r="E8" i="3" s="1"/>
  <c r="B48" i="1"/>
  <c r="C26" i="3" s="1"/>
  <c r="C13" i="3"/>
  <c r="C14" i="3"/>
  <c r="C5" i="3"/>
  <c r="D13" i="1"/>
  <c r="Q3" i="3"/>
  <c r="Q15" i="3" s="1"/>
  <c r="E11" i="3" s="1"/>
  <c r="E35" i="3"/>
  <c r="D5" i="3"/>
  <c r="D13" i="3"/>
  <c r="D14" i="3"/>
  <c r="B13" i="1"/>
  <c r="C17" i="3" s="1"/>
  <c r="O3" i="3"/>
  <c r="P11" i="3"/>
  <c r="D8" i="3" s="1"/>
  <c r="P4" i="3"/>
  <c r="P16" i="3" s="1"/>
  <c r="O4" i="3"/>
  <c r="O11" i="3"/>
  <c r="C8" i="3" s="1"/>
  <c r="E13" i="3"/>
  <c r="E14" i="3"/>
  <c r="E5" i="3"/>
  <c r="B62" i="1"/>
  <c r="C7" i="3" s="1"/>
  <c r="B18" i="1"/>
  <c r="C48" i="1"/>
  <c r="D26" i="3" s="1"/>
  <c r="D62" i="1"/>
  <c r="C69" i="1"/>
  <c r="D48" i="1"/>
  <c r="E26" i="3" s="1"/>
  <c r="A47" i="3"/>
  <c r="A49" i="3" s="1"/>
  <c r="A16" i="3"/>
  <c r="A17" i="3" s="1"/>
  <c r="A18" i="3" s="1"/>
  <c r="A20" i="3" s="1"/>
  <c r="A22" i="3" s="1"/>
  <c r="A5" i="3"/>
  <c r="A6" i="3" s="1"/>
  <c r="A7" i="3" s="1"/>
  <c r="A8" i="3" s="1"/>
  <c r="A9" i="3" s="1"/>
  <c r="A10" i="3" s="1"/>
  <c r="A11" i="3" s="1"/>
  <c r="A12" i="3" s="1"/>
  <c r="A13" i="3" s="1"/>
  <c r="B20" i="1" l="1"/>
  <c r="B22" i="1" s="1"/>
  <c r="C21" i="3"/>
  <c r="C48" i="3" s="1"/>
  <c r="C20" i="3"/>
  <c r="C19" i="3"/>
  <c r="C50" i="3" s="1"/>
  <c r="C18" i="3"/>
  <c r="P5" i="3"/>
  <c r="P17" i="3" s="1"/>
  <c r="D10" i="3" s="1"/>
  <c r="D9" i="3"/>
  <c r="D69" i="1"/>
  <c r="E7" i="3"/>
  <c r="B69" i="1"/>
  <c r="D18" i="1"/>
  <c r="E17" i="3"/>
  <c r="E34" i="3"/>
  <c r="E9" i="3"/>
  <c r="Q5" i="3"/>
  <c r="Q17" i="3" s="1"/>
  <c r="E10" i="3" s="1"/>
  <c r="C18" i="1"/>
  <c r="D17" i="3"/>
  <c r="A24" i="3"/>
  <c r="A25" i="3" s="1"/>
  <c r="A26" i="3" s="1"/>
  <c r="A27" i="3" s="1"/>
  <c r="A28" i="3" s="1"/>
  <c r="A29" i="3" s="1"/>
  <c r="A30" i="3" s="1"/>
  <c r="A33" i="3"/>
  <c r="D20" i="1" l="1"/>
  <c r="E19" i="3"/>
  <c r="E50" i="3" s="1"/>
  <c r="E18" i="3"/>
  <c r="E21" i="3"/>
  <c r="E48" i="3" s="1"/>
  <c r="E20" i="3"/>
  <c r="D12" i="3"/>
  <c r="C20" i="1"/>
  <c r="D20" i="3"/>
  <c r="D19" i="3"/>
  <c r="D50" i="3" s="1"/>
  <c r="D18" i="3"/>
  <c r="D21" i="3"/>
  <c r="D48" i="3" s="1"/>
  <c r="E12" i="3"/>
  <c r="B76" i="1"/>
  <c r="B91" i="1" s="1"/>
  <c r="B109" i="1" s="1"/>
  <c r="C22" i="3"/>
  <c r="A39" i="3"/>
  <c r="A40" i="3" s="1"/>
  <c r="A41" i="3" s="1"/>
  <c r="A42" i="3" s="1"/>
  <c r="A43" i="3" s="1"/>
  <c r="A44" i="3" s="1"/>
  <c r="A46" i="3" s="1"/>
  <c r="A48" i="3" s="1"/>
  <c r="A50" i="3" s="1"/>
  <c r="A34" i="3"/>
  <c r="A35" i="3" s="1"/>
  <c r="A36" i="3" s="1"/>
  <c r="A37" i="3" s="1"/>
  <c r="C22" i="1" l="1"/>
  <c r="D37" i="3"/>
  <c r="D49" i="3" s="1"/>
  <c r="D22" i="1"/>
  <c r="E37" i="3"/>
  <c r="E49" i="3" s="1"/>
  <c r="D76" i="1" l="1"/>
  <c r="D91" i="1" s="1"/>
  <c r="D109" i="1" s="1"/>
  <c r="E47" i="3"/>
  <c r="E22" i="3"/>
  <c r="C76" i="1"/>
  <c r="C91" i="1" s="1"/>
  <c r="C109" i="1" s="1"/>
  <c r="D22" i="3"/>
  <c r="D47" i="3"/>
</calcChain>
</file>

<file path=xl/sharedStrings.xml><?xml version="1.0" encoding="utf-8"?>
<sst xmlns="http://schemas.openxmlformats.org/spreadsheetml/2006/main" count="227" uniqueCount="190">
  <si>
    <t>Apple Inc.</t>
  </si>
  <si>
    <t>CONSOLIDATED STATEMENTS OF OPERATIONS</t>
  </si>
  <si>
    <t>(In millions, except number of shares which are reflected in thousands and per share amounts)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</si>
  <si>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</si>
  <si>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</si>
  <si>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</si>
  <si>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</si>
  <si>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</si>
  <si>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</si>
  <si>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</si>
  <si>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</si>
  <si>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</si>
  <si>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</si>
  <si>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</si>
  <si>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</si>
  <si>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</si>
  <si>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</si>
  <si>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</si>
  <si>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</si>
  <si>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</si>
  <si>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</si>
  <si>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</si>
  <si>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</si>
  <si>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Years ended September,</t>
  </si>
  <si>
    <t>CONSOLIDATED BALANCE SHEETS</t>
  </si>
  <si>
    <t>Current assets:</t>
  </si>
  <si>
    <t>Cash and cash equivalents</t>
  </si>
  <si>
    <t>Marketable securities</t>
  </si>
  <si>
    <t>Accounts receivable, net</t>
  </si>
  <si>
    <t>Inventories</t>
  </si>
  <si>
    <t>Other current assets</t>
  </si>
  <si>
    <t>Total current assets</t>
  </si>
  <si>
    <t>Property, plant and equipment, net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</si>
  <si>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</si>
  <si>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</si>
  <si>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</si>
  <si>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</si>
  <si>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</si>
  <si>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</si>
  <si>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</si>
  <si>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</si>
  <si>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Total liabilities</t>
  </si>
  <si>
    <t>Shareholders’ equity:</t>
  </si>
  <si>
    <t>Retained earnings</t>
  </si>
  <si>
    <t>Accumulated other comprehensive income/(loss)</t>
  </si>
  <si>
    <t>Total shareholders’ equity</t>
  </si>
  <si>
    <t>Total liabilities and shareholders’ equity</t>
  </si>
  <si>
    <t>Vendor non trade receivables</t>
  </si>
  <si>
    <t>Non current assets:</t>
  </si>
  <si>
    <t>Other non current assets</t>
  </si>
  <si>
    <t>Total non current assets</t>
  </si>
  <si>
    <t>Non current liabilities:</t>
  </si>
  <si>
    <t>Other non current liabilities</t>
  </si>
  <si>
    <t>Total non current liabilities</t>
  </si>
  <si>
    <t>Common stock and additional paid in capital, $0.00001 par value: 12,600,000 shares authorized; 4,443,236 and 4,754,986 shares issued and outstanding, respectively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</si>
  <si>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</si>
  <si>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</si>
  <si>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</si>
  <si>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</si>
  <si>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</si>
  <si>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Deferred income tax expense/(benefit)</t>
  </si>
  <si>
    <t>Other</t>
  </si>
  <si>
    <t>Changes in operating assets and liabilities: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</si>
  <si>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</si>
  <si>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</si>
  <si>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</si>
  <si>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</si>
  <si>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</si>
  <si>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</si>
  <si>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</si>
  <si>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</si>
  <si>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</si>
  <si>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</si>
  <si>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</si>
  <si>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</si>
  <si>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</si>
  <si>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</si>
  <si>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</si>
  <si>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</si>
  <si>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</si>
  <si>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</si>
  <si>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</si>
  <si>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</si>
  <si>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Share based compensation expense</t>
  </si>
  <si>
    <t>Other current and non current assets</t>
  </si>
  <si>
    <t>Other current and non current liabilities</t>
  </si>
  <si>
    <t>Payments for taxes related to net share settlement of equity awards</t>
  </si>
  <si>
    <t>Instructions</t>
  </si>
  <si>
    <t>https://investor.apple.com/investor-relations/default.aspx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</si>
  <si>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</si>
  <si>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</si>
  <si>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</si>
  <si>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</si>
  <si>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Net profit</t>
  </si>
  <si>
    <t>Income tax rate</t>
  </si>
  <si>
    <t>Capex as a percentage of sales</t>
  </si>
  <si>
    <t>Capex as a percentage of fixed assets</t>
  </si>
  <si>
    <t>You are required to perform a ratio analysis in excel using the information provided from this financial statements</t>
  </si>
  <si>
    <t>You are required to calculate the following additional items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</si>
  <si>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</si>
  <si>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</si>
  <si>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</si>
  <si>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</si>
  <si>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</si>
  <si>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</si>
  <si>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</si>
  <si>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</si>
  <si>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</si>
  <si>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</si>
  <si>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</si>
  <si>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</si>
  <si>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</si>
  <si>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</si>
  <si>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</si>
  <si>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</si>
  <si>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</si>
  <si>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</si>
  <si>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</si>
  <si>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</si>
  <si>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</si>
  <si>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</si>
  <si>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</si>
  <si>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</si>
  <si>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</si>
  <si>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</si>
  <si>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</si>
  <si>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</si>
  <si>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</si>
  <si>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</si>
  <si>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</si>
  <si>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</si>
  <si>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</si>
  <si>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</si>
  <si>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</si>
  <si>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</si>
  <si>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</si>
  <si>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</si>
  <si>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</si>
  <si>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</si>
  <si>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</si>
  <si>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</si>
  <si>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Sheet contains the financial statements of Apple Inc. extracted from the most recent annual report:</t>
  </si>
  <si>
    <t>As at September,</t>
  </si>
  <si>
    <t>https://www.bloomberg.com/quote/AAPL:US</t>
  </si>
  <si>
    <t>* Market information like share price should be obtained from bloomberg.com from the particular day's closing price</t>
  </si>
  <si>
    <t>Sales (each category and net sales)</t>
  </si>
  <si>
    <t>COGS (Cost of goods sold)</t>
  </si>
  <si>
    <t>All of the above ratios should be calculated in the "List of Ratios" tab</t>
  </si>
  <si>
    <t>The ratios that should be calculated are listed in the ratios tab</t>
  </si>
  <si>
    <t>In addition to the above, you are required to calculate the growth rates for the following:</t>
  </si>
  <si>
    <t xml:space="preserve">Daily Operational expenses </t>
  </si>
  <si>
    <t xml:space="preserve">Sales </t>
  </si>
  <si>
    <t xml:space="preserve">Receiveables Turnover </t>
  </si>
  <si>
    <t xml:space="preserve">Inventory Turnover </t>
  </si>
  <si>
    <t xml:space="preserve">Cost of Goods Sold </t>
  </si>
  <si>
    <t xml:space="preserve">Turnover Ratios </t>
  </si>
  <si>
    <t xml:space="preserve">Payables Turnover </t>
  </si>
  <si>
    <t xml:space="preserve">Purchases </t>
  </si>
  <si>
    <t>Include total operating expenses in daily operational expense calculation</t>
  </si>
  <si>
    <t>Long term debt/(Long term debt + Equity)</t>
  </si>
  <si>
    <t>EBIT / Interest Expense (can be found at the bottom of cash flow statement)</t>
  </si>
  <si>
    <t>Net Operating Income/ (Interest + Debt repayment)</t>
  </si>
  <si>
    <t>Cash from operations + Capex + Net debt issued (Capex and debt issued also can be found in cash flow statement)</t>
  </si>
  <si>
    <t>Share Price / EPS</t>
  </si>
  <si>
    <t>Net Income / Diluted number of common Shares</t>
  </si>
  <si>
    <t>Share Price / Book Value per Share</t>
  </si>
  <si>
    <t>Total shareholder equity / Diluted number of common Shares</t>
  </si>
  <si>
    <t>Dividend Paid (can be found in cash flow statement)/  Diluted number of common Shares</t>
  </si>
  <si>
    <t>Dividend Per Share / Share Price</t>
  </si>
  <si>
    <t>EBIT/(Long term debt + Equity)</t>
  </si>
  <si>
    <t>EV / EBITDA</t>
  </si>
  <si>
    <t>Market Cap + Total Debt - (Cash + Cash Equivalents)</t>
  </si>
  <si>
    <t xml:space="preserve">(Cash + Cash Equivalents + Marketable Securities + Net Accounts Receivable)/Current Liabilities.   Vendor non-trade receivables should not be included </t>
  </si>
  <si>
    <t>Insert formulas</t>
  </si>
  <si>
    <t>Feedback</t>
  </si>
  <si>
    <t>Capital Expenditure Formula</t>
  </si>
  <si>
    <t>Each operating expenses:</t>
  </si>
  <si>
    <t>Selling, general and adminstrative</t>
  </si>
  <si>
    <t>Net Sales;</t>
  </si>
  <si>
    <t xml:space="preserve">Product </t>
  </si>
  <si>
    <t xml:space="preserve">Services </t>
  </si>
  <si>
    <t>Cost of Goods Sold;</t>
  </si>
  <si>
    <t>Each operating expenses;</t>
  </si>
  <si>
    <t xml:space="preserve">Research and development </t>
  </si>
  <si>
    <t>Selling, geeneral and adminstrative</t>
  </si>
  <si>
    <t xml:space="preserve">Total Current Assets </t>
  </si>
  <si>
    <t xml:space="preserve">Total Non-current Assets </t>
  </si>
  <si>
    <t xml:space="preserve">Total Current Liabilities </t>
  </si>
  <si>
    <t xml:space="preserve">Total Non-current Liabilities </t>
  </si>
  <si>
    <t>Main line items of the balance sheet;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</si>
</sst>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164" fontId="0" fillId="0" borderId="0" xfId="1" applyNumberFormat="1" applyFont="1"/>
    <xf numFmtId="164" fontId="2" fillId="0" borderId="1" xfId="1" applyNumberFormat="1" applyFont="1" applyBorder="1"/>
    <xf numFmtId="164" fontId="2" fillId="0" borderId="2" xfId="1" applyNumberFormat="1" applyFont="1" applyBorder="1"/>
    <xf numFmtId="164" fontId="2" fillId="0" borderId="0" xfId="1" applyNumberFormat="1" applyFont="1"/>
    <xf numFmtId="0" fontId="6" fillId="0" borderId="0" xfId="2" applyAlignment="1">
      <alignment horizontal="left" indent="1"/>
    </xf>
    <xf numFmtId="0" fontId="2" fillId="0" borderId="0" xfId="0" applyFont="1" applyAlignment="1">
      <alignment horizontal="left"/>
    </xf>
    <xf numFmtId="165" fontId="0" fillId="0" borderId="0" xfId="0" applyNumberForma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4" fontId="0" fillId="0" borderId="3" xfId="1" applyNumberFormat="1" applyFont="1" applyBorder="1"/>
    <xf numFmtId="0" fontId="2" fillId="0" borderId="3" xfId="0" applyFont="1" applyBorder="1" applyAlignment="1">
      <alignment horizontal="left"/>
    </xf>
    <xf numFmtId="9" fontId="0" fillId="0" borderId="0" xfId="3" applyFont="1"/>
    <xf numFmtId="2" fontId="0" fillId="0" borderId="0" xfId="3" applyNumberFormat="1" applyFont="1"/>
    <xf numFmtId="2" fontId="0" fillId="0" borderId="0" xfId="3" applyNumberFormat="1" applyFont="1" applyFill="1"/>
    <xf numFmtId="166" fontId="0" fillId="0" borderId="0" xfId="3" applyNumberFormat="1" applyFont="1"/>
    <xf numFmtId="166" fontId="0" fillId="0" borderId="0" xfId="0" applyNumberFormat="1"/>
    <xf numFmtId="0" fontId="0" fillId="0" borderId="0" xfId="3" applyNumberFormat="1" applyFont="1" applyFill="1"/>
    <xf numFmtId="2" fontId="0" fillId="0" borderId="0" xfId="0" applyNumberFormat="1"/>
    <xf numFmtId="0" fontId="8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9" fontId="0" fillId="0" borderId="0" xfId="3" applyNumberFormat="1" applyFont="1"/>
    <xf numFmtId="0" fontId="0" fillId="0" borderId="0" xfId="0" applyFill="1"/>
    <xf numFmtId="0" fontId="2" fillId="0" borderId="0" xfId="0" applyFont="1" applyFill="1"/>
    <xf numFmtId="0" fontId="0" fillId="0" borderId="0" xfId="0" applyFill="1" applyAlignment="1">
      <alignment horizontal="left" indent="1"/>
    </xf>
  </cellXfs>
  <cellStyles count="4">
    <cellStyle name="Comma" xfId="1" builtinId="3"/>
    <cellStyle name="Hyperlink" xfId="2" builtinId="8"/>
    <cellStyle name="Normal" xfId="0" builtinId="0"/>
    <cellStyle name="Per cent" xfId="3" builtinId="5"/>
  </cellStyles>
  <dxfs count="0"/>
  <tableStyles count="0" defaultTableStyle="TableStyleMedium2" defaultPivotStyle="PivotStyleLight16"/>
  <colors>
    <mruColors>
      <color rgb="FFFE4858"/>
      <color rgb="FFB00B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zoomScale="120" zoomScaleNormal="120" workbookViewId="0">
      <selection activeCell="A21" sqref="A21:A24"/>
    </sheetView>
  </sheetViews>
  <sheetFormatPr baseColWidth="10" defaultColWidth="8.83203125" defaultRowHeight="15" x14ac:dyDescent="0.2"/>
  <cols>
    <col min="1" max="1" width="104.5" customWidth="1"/>
  </cols>
  <sheetData>
    <row r="1" spans="1:1" ht="24" x14ac:dyDescent="0.3">
      <c r="A1" s="5" t="s">
        <v>87</v>
      </c>
    </row>
    <row r="3" spans="1:1" x14ac:dyDescent="0.2">
      <c r="A3" s="7" t="s">
        <v>141</v>
      </c>
    </row>
    <row r="4" spans="1:1" x14ac:dyDescent="0.2">
      <c r="A4" s="16" t="s">
        <v>88</v>
      </c>
    </row>
    <row r="5" spans="1:1" x14ac:dyDescent="0.2">
      <c r="A5" s="7" t="s">
        <v>97</v>
      </c>
    </row>
    <row r="6" spans="1:1" x14ac:dyDescent="0.2">
      <c r="A6" s="1" t="s">
        <v>148</v>
      </c>
    </row>
    <row r="7" spans="1:1" x14ac:dyDescent="0.2">
      <c r="A7" s="1"/>
    </row>
    <row r="8" spans="1:1" x14ac:dyDescent="0.2">
      <c r="A8" s="17" t="s">
        <v>149</v>
      </c>
    </row>
    <row r="9" spans="1:1" x14ac:dyDescent="0.2">
      <c r="A9" s="1" t="s">
        <v>145</v>
      </c>
    </row>
    <row r="10" spans="1:1" x14ac:dyDescent="0.2">
      <c r="A10" s="1" t="s">
        <v>89</v>
      </c>
    </row>
    <row r="11" spans="1:1" x14ac:dyDescent="0.2">
      <c r="A11" s="1" t="s">
        <v>90</v>
      </c>
    </row>
    <row r="12" spans="1:1" x14ac:dyDescent="0.2">
      <c r="A12" s="1" t="s">
        <v>91</v>
      </c>
    </row>
    <row r="13" spans="1:1" x14ac:dyDescent="0.2">
      <c r="A13" s="1"/>
    </row>
    <row r="14" spans="1:1" x14ac:dyDescent="0.2">
      <c r="A14" s="17" t="s">
        <v>92</v>
      </c>
    </row>
    <row r="15" spans="1:1" x14ac:dyDescent="0.2">
      <c r="A15" s="1" t="s">
        <v>146</v>
      </c>
    </row>
    <row r="16" spans="1:1" x14ac:dyDescent="0.2">
      <c r="A16" s="1" t="s">
        <v>89</v>
      </c>
    </row>
    <row r="17" spans="1:1" x14ac:dyDescent="0.2">
      <c r="A17" s="1" t="s">
        <v>90</v>
      </c>
    </row>
    <row r="18" spans="1:1" x14ac:dyDescent="0.2">
      <c r="A18" s="1" t="s">
        <v>14</v>
      </c>
    </row>
    <row r="19" spans="1:1" x14ac:dyDescent="0.2">
      <c r="A19" s="1" t="s">
        <v>93</v>
      </c>
    </row>
    <row r="20" spans="1:1" x14ac:dyDescent="0.2">
      <c r="A20" s="1"/>
    </row>
    <row r="21" spans="1:1" x14ac:dyDescent="0.2">
      <c r="A21" s="17" t="s">
        <v>98</v>
      </c>
    </row>
    <row r="22" spans="1:1" x14ac:dyDescent="0.2">
      <c r="A22" s="1" t="s">
        <v>94</v>
      </c>
    </row>
    <row r="23" spans="1:1" x14ac:dyDescent="0.2">
      <c r="A23" s="1" t="s">
        <v>95</v>
      </c>
    </row>
    <row r="24" spans="1:1" x14ac:dyDescent="0.2">
      <c r="A24" s="1" t="s">
        <v>96</v>
      </c>
    </row>
    <row r="25" spans="1:1" x14ac:dyDescent="0.2">
      <c r="A25" s="1"/>
    </row>
    <row r="26" spans="1:1" x14ac:dyDescent="0.2">
      <c r="A26" s="17" t="s">
        <v>144</v>
      </c>
    </row>
    <row r="27" spans="1:1" x14ac:dyDescent="0.2">
      <c r="A27" s="16" t="s">
        <v>143</v>
      </c>
    </row>
    <row r="29" spans="1:1" x14ac:dyDescent="0.2">
      <c r="A29" s="7" t="s">
        <v>147</v>
      </c>
    </row>
  </sheetData>
  <hyperlinks>
    <hyperlink ref="A4" r:id="rId1" xr:uid="{00000000-0004-0000-0000-000000000000}"/>
    <hyperlink ref="A27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4"/>
  <sheetViews>
    <sheetView topLeftCell="A11" zoomScaleNormal="100" workbookViewId="0">
      <selection activeCell="B13" sqref="B13"/>
    </sheetView>
  </sheetViews>
  <sheetFormatPr baseColWidth="10" defaultColWidth="8.83203125" defaultRowHeight="15" x14ac:dyDescent="0.2"/>
  <cols>
    <col min="1" max="1" width="59" customWidth="1"/>
    <col min="2" max="3" width="11.5" bestFit="1" customWidth="1"/>
    <col min="4" max="4" width="11.6640625" bestFit="1" customWidth="1"/>
  </cols>
  <sheetData>
    <row r="1" spans="1:10" ht="60" customHeight="1" x14ac:dyDescent="0.2">
      <c r="A1" s="6" t="s">
        <v>0</v>
      </c>
      <c r="B1" s="4" t="s">
        <v>2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32" t="s">
        <v>1</v>
      </c>
      <c r="B2" s="32"/>
      <c r="C2" s="32"/>
      <c r="D2" s="32"/>
    </row>
    <row r="3" spans="1:10" x14ac:dyDescent="0.2">
      <c r="B3" s="31" t="s">
        <v>23</v>
      </c>
      <c r="C3" s="31"/>
      <c r="D3" s="31"/>
    </row>
    <row r="4" spans="1:10" x14ac:dyDescent="0.2">
      <c r="B4" s="7">
        <v>2022</v>
      </c>
      <c r="C4" s="7">
        <v>2021</v>
      </c>
      <c r="D4" s="7">
        <v>2020</v>
      </c>
    </row>
    <row r="5" spans="1:10" x14ac:dyDescent="0.2">
      <c r="A5" t="s">
        <v>3</v>
      </c>
    </row>
    <row r="6" spans="1:10" x14ac:dyDescent="0.2">
      <c r="A6" s="1" t="s">
        <v>4</v>
      </c>
      <c r="B6" s="12">
        <v>316199</v>
      </c>
      <c r="C6" s="12">
        <v>297392</v>
      </c>
      <c r="D6" s="12">
        <v>220747</v>
      </c>
    </row>
    <row r="7" spans="1:10" x14ac:dyDescent="0.2">
      <c r="A7" s="1" t="s">
        <v>5</v>
      </c>
      <c r="B7" s="12">
        <v>78129</v>
      </c>
      <c r="C7" s="12">
        <v>68425</v>
      </c>
      <c r="D7" s="12">
        <v>53768</v>
      </c>
    </row>
    <row r="8" spans="1:10" x14ac:dyDescent="0.2">
      <c r="A8" s="8" t="s">
        <v>6</v>
      </c>
      <c r="B8" s="13">
        <f>+B6+B7</f>
        <v>394328</v>
      </c>
      <c r="C8" s="13">
        <f t="shared" ref="C8:D8" si="0">+C6+C7</f>
        <v>365817</v>
      </c>
      <c r="D8" s="13">
        <f t="shared" si="0"/>
        <v>274515</v>
      </c>
    </row>
    <row r="9" spans="1:10" x14ac:dyDescent="0.2">
      <c r="A9" t="s">
        <v>7</v>
      </c>
      <c r="B9" s="12"/>
      <c r="C9" s="12"/>
      <c r="D9" s="12"/>
    </row>
    <row r="10" spans="1:10" x14ac:dyDescent="0.2">
      <c r="A10" s="1" t="s">
        <v>4</v>
      </c>
      <c r="B10" s="12">
        <v>201471</v>
      </c>
      <c r="C10" s="12">
        <v>192266</v>
      </c>
      <c r="D10" s="12">
        <v>151286</v>
      </c>
    </row>
    <row r="11" spans="1:10" x14ac:dyDescent="0.2">
      <c r="A11" s="1" t="s">
        <v>5</v>
      </c>
      <c r="B11" s="12">
        <v>22075</v>
      </c>
      <c r="C11" s="12">
        <v>20715</v>
      </c>
      <c r="D11" s="12">
        <v>18273</v>
      </c>
    </row>
    <row r="12" spans="1:10" x14ac:dyDescent="0.2">
      <c r="A12" s="8" t="s">
        <v>8</v>
      </c>
      <c r="B12" s="13">
        <f>+B10+B11</f>
        <v>223546</v>
      </c>
      <c r="C12" s="13">
        <f t="shared" ref="C12:D12" si="1">+C10+C11</f>
        <v>212981</v>
      </c>
      <c r="D12" s="13">
        <f t="shared" si="1"/>
        <v>169559</v>
      </c>
    </row>
    <row r="13" spans="1:10" x14ac:dyDescent="0.2">
      <c r="A13" s="8" t="s">
        <v>9</v>
      </c>
      <c r="B13" s="13">
        <f>+B8-B12</f>
        <v>170782</v>
      </c>
      <c r="C13" s="13">
        <f t="shared" ref="C13:D13" si="2">+C8-C12</f>
        <v>152836</v>
      </c>
      <c r="D13" s="13">
        <f t="shared" si="2"/>
        <v>104956</v>
      </c>
    </row>
    <row r="14" spans="1:10" x14ac:dyDescent="0.2">
      <c r="A14" t="s">
        <v>10</v>
      </c>
      <c r="B14" s="12"/>
      <c r="C14" s="12"/>
      <c r="D14" s="12"/>
    </row>
    <row r="15" spans="1:10" x14ac:dyDescent="0.2">
      <c r="A15" s="1" t="s">
        <v>11</v>
      </c>
      <c r="B15" s="12">
        <v>26251</v>
      </c>
      <c r="C15" s="12">
        <v>21914</v>
      </c>
      <c r="D15" s="12">
        <v>18752</v>
      </c>
    </row>
    <row r="16" spans="1:10" x14ac:dyDescent="0.2">
      <c r="A16" s="1" t="s">
        <v>12</v>
      </c>
      <c r="B16" s="12">
        <v>25094</v>
      </c>
      <c r="C16" s="12">
        <v>21973</v>
      </c>
      <c r="D16" s="12">
        <v>19916</v>
      </c>
    </row>
    <row r="17" spans="1:4" x14ac:dyDescent="0.2">
      <c r="A17" s="8" t="s">
        <v>13</v>
      </c>
      <c r="B17" s="13">
        <f>+B15+B16</f>
        <v>51345</v>
      </c>
      <c r="C17" s="13">
        <f t="shared" ref="C17" si="3">+C15+C16</f>
        <v>43887</v>
      </c>
      <c r="D17" s="13">
        <f t="shared" ref="D17" si="4">+D15+D16</f>
        <v>38668</v>
      </c>
    </row>
    <row r="18" spans="1:4" s="7" customFormat="1" x14ac:dyDescent="0.2">
      <c r="A18" s="8" t="s">
        <v>14</v>
      </c>
      <c r="B18" s="13">
        <f>+B13-B17</f>
        <v>119437</v>
      </c>
      <c r="C18" s="13">
        <f t="shared" ref="C18:D18" si="5">+C13-C17</f>
        <v>108949</v>
      </c>
      <c r="D18" s="13">
        <f t="shared" si="5"/>
        <v>66288</v>
      </c>
    </row>
    <row r="19" spans="1:4" x14ac:dyDescent="0.2">
      <c r="A19" t="s">
        <v>15</v>
      </c>
      <c r="B19" s="12">
        <v>-334</v>
      </c>
      <c r="C19" s="12">
        <v>258</v>
      </c>
      <c r="D19" s="12">
        <v>803</v>
      </c>
    </row>
    <row r="20" spans="1:4" x14ac:dyDescent="0.2">
      <c r="A20" s="8" t="s">
        <v>16</v>
      </c>
      <c r="B20" s="13">
        <f>+B18+B19</f>
        <v>119103</v>
      </c>
      <c r="C20" s="13">
        <f t="shared" ref="C20:D20" si="6">+C18+C19</f>
        <v>109207</v>
      </c>
      <c r="D20" s="13">
        <f t="shared" si="6"/>
        <v>67091</v>
      </c>
    </row>
    <row r="21" spans="1:4" x14ac:dyDescent="0.2">
      <c r="A21" t="s">
        <v>17</v>
      </c>
      <c r="B21" s="12">
        <v>19300</v>
      </c>
      <c r="C21" s="12">
        <v>14527</v>
      </c>
      <c r="D21" s="12">
        <v>9680</v>
      </c>
    </row>
    <row r="22" spans="1:4" ht="16" thickBot="1" x14ac:dyDescent="0.25">
      <c r="A22" s="9" t="s">
        <v>18</v>
      </c>
      <c r="B22" s="14">
        <f>+B20-B21</f>
        <v>99803</v>
      </c>
      <c r="C22" s="14">
        <f t="shared" ref="C22:D22" si="7">+C20-C21</f>
        <v>94680</v>
      </c>
      <c r="D22" s="14">
        <f t="shared" si="7"/>
        <v>57411</v>
      </c>
    </row>
    <row r="23" spans="1:4" ht="16" thickTop="1" x14ac:dyDescent="0.2">
      <c r="A23" t="s">
        <v>19</v>
      </c>
    </row>
    <row r="24" spans="1:4" x14ac:dyDescent="0.2">
      <c r="A24" s="1" t="s">
        <v>20</v>
      </c>
      <c r="B24" s="10">
        <v>6.15</v>
      </c>
      <c r="C24" s="10">
        <v>5.67</v>
      </c>
      <c r="D24" s="10">
        <v>3.31</v>
      </c>
    </row>
    <row r="25" spans="1:4" x14ac:dyDescent="0.2">
      <c r="A25" s="1" t="s">
        <v>21</v>
      </c>
      <c r="B25" s="10">
        <v>6.11</v>
      </c>
      <c r="C25" s="10">
        <v>5.61</v>
      </c>
      <c r="D25" s="10">
        <v>3.28</v>
      </c>
    </row>
    <row r="26" spans="1:4" x14ac:dyDescent="0.2">
      <c r="A26" t="s">
        <v>22</v>
      </c>
    </row>
    <row r="27" spans="1:4" x14ac:dyDescent="0.2">
      <c r="A27" s="1" t="s">
        <v>20</v>
      </c>
      <c r="B27" s="2">
        <v>16215963</v>
      </c>
      <c r="C27" s="2">
        <v>16701272</v>
      </c>
      <c r="D27" s="2">
        <v>17352119</v>
      </c>
    </row>
    <row r="28" spans="1:4" x14ac:dyDescent="0.2">
      <c r="A28" s="1" t="s">
        <v>21</v>
      </c>
      <c r="B28" s="2">
        <v>16325819</v>
      </c>
      <c r="C28" s="2">
        <v>16864919</v>
      </c>
      <c r="D28" s="2">
        <v>17528214</v>
      </c>
    </row>
    <row r="31" spans="1:4" x14ac:dyDescent="0.2">
      <c r="A31" s="32" t="s">
        <v>24</v>
      </c>
      <c r="B31" s="32"/>
      <c r="C31" s="32"/>
      <c r="D31" s="32"/>
    </row>
    <row r="32" spans="1:4" x14ac:dyDescent="0.2">
      <c r="B32" s="31" t="s">
        <v>142</v>
      </c>
      <c r="C32" s="31"/>
      <c r="D32" s="31"/>
    </row>
    <row r="33" spans="1:4" x14ac:dyDescent="0.2">
      <c r="B33" s="7">
        <f>+B4</f>
        <v>2022</v>
      </c>
      <c r="C33" s="7">
        <f t="shared" ref="C33:D33" si="8">+C4</f>
        <v>2021</v>
      </c>
      <c r="D33" s="7">
        <f t="shared" si="8"/>
        <v>2020</v>
      </c>
    </row>
    <row r="35" spans="1:4" x14ac:dyDescent="0.2">
      <c r="A35" t="s">
        <v>25</v>
      </c>
    </row>
    <row r="36" spans="1:4" x14ac:dyDescent="0.2">
      <c r="A36" s="1" t="s">
        <v>26</v>
      </c>
      <c r="B36" s="12">
        <v>23646</v>
      </c>
      <c r="C36" s="12">
        <v>34940</v>
      </c>
      <c r="D36" s="12">
        <v>38016</v>
      </c>
    </row>
    <row r="37" spans="1:4" x14ac:dyDescent="0.2">
      <c r="A37" s="1" t="s">
        <v>27</v>
      </c>
      <c r="B37" s="12">
        <v>24658</v>
      </c>
      <c r="C37" s="12">
        <v>27699</v>
      </c>
      <c r="D37" s="12">
        <v>52927</v>
      </c>
    </row>
    <row r="38" spans="1:4" x14ac:dyDescent="0.2">
      <c r="A38" s="1" t="s">
        <v>28</v>
      </c>
      <c r="B38" s="12">
        <v>28184</v>
      </c>
      <c r="C38" s="12">
        <v>26278</v>
      </c>
      <c r="D38" s="12">
        <v>16120</v>
      </c>
    </row>
    <row r="39" spans="1:4" x14ac:dyDescent="0.2">
      <c r="A39" s="1" t="s">
        <v>29</v>
      </c>
      <c r="B39" s="12">
        <v>4946</v>
      </c>
      <c r="C39" s="12">
        <v>6580</v>
      </c>
      <c r="D39" s="12">
        <v>4061</v>
      </c>
    </row>
    <row r="40" spans="1:4" x14ac:dyDescent="0.2">
      <c r="A40" s="1" t="s">
        <v>47</v>
      </c>
      <c r="B40" s="12">
        <v>32748</v>
      </c>
      <c r="C40" s="12">
        <v>25228</v>
      </c>
      <c r="D40" s="12">
        <v>21325</v>
      </c>
    </row>
    <row r="41" spans="1:4" x14ac:dyDescent="0.2">
      <c r="A41" s="1" t="s">
        <v>30</v>
      </c>
      <c r="B41" s="12">
        <v>21223</v>
      </c>
      <c r="C41" s="12">
        <v>14111</v>
      </c>
      <c r="D41" s="12">
        <v>11264</v>
      </c>
    </row>
    <row r="42" spans="1:4" x14ac:dyDescent="0.2">
      <c r="A42" s="8" t="s">
        <v>31</v>
      </c>
      <c r="B42" s="13">
        <f>+SUM(B36:B41)</f>
        <v>135405</v>
      </c>
      <c r="C42" s="13">
        <f t="shared" ref="C42:D42" si="9">+SUM(C36:C41)</f>
        <v>134836</v>
      </c>
      <c r="D42" s="13">
        <f t="shared" si="9"/>
        <v>143713</v>
      </c>
    </row>
    <row r="43" spans="1:4" x14ac:dyDescent="0.2">
      <c r="A43" t="s">
        <v>48</v>
      </c>
      <c r="B43" s="12"/>
      <c r="C43" s="12"/>
      <c r="D43" s="12"/>
    </row>
    <row r="44" spans="1:4" x14ac:dyDescent="0.2">
      <c r="A44" s="1" t="s">
        <v>27</v>
      </c>
      <c r="B44" s="12">
        <v>120805</v>
      </c>
      <c r="C44" s="12">
        <v>127877</v>
      </c>
      <c r="D44" s="12">
        <v>100887</v>
      </c>
    </row>
    <row r="45" spans="1:4" x14ac:dyDescent="0.2">
      <c r="A45" s="1" t="s">
        <v>32</v>
      </c>
      <c r="B45" s="12">
        <v>42117</v>
      </c>
      <c r="C45" s="12">
        <v>39440</v>
      </c>
      <c r="D45" s="12">
        <v>36766</v>
      </c>
    </row>
    <row r="46" spans="1:4" x14ac:dyDescent="0.2">
      <c r="A46" s="1" t="s">
        <v>49</v>
      </c>
      <c r="B46" s="12">
        <v>54428</v>
      </c>
      <c r="C46" s="12">
        <v>48849</v>
      </c>
      <c r="D46" s="12">
        <v>42522</v>
      </c>
    </row>
    <row r="47" spans="1:4" x14ac:dyDescent="0.2">
      <c r="A47" s="8" t="s">
        <v>50</v>
      </c>
      <c r="B47" s="13">
        <f>+SUM(B44:B46)</f>
        <v>217350</v>
      </c>
      <c r="C47" s="13">
        <f t="shared" ref="C47:D47" si="10">+SUM(C44:C46)</f>
        <v>216166</v>
      </c>
      <c r="D47" s="13">
        <f t="shared" si="10"/>
        <v>180175</v>
      </c>
    </row>
    <row r="48" spans="1:4" ht="16" thickBot="1" x14ac:dyDescent="0.25">
      <c r="A48" s="9" t="s">
        <v>33</v>
      </c>
      <c r="B48" s="14">
        <f>+B42+B47</f>
        <v>352755</v>
      </c>
      <c r="C48" s="14">
        <f t="shared" ref="C48:D48" si="11">+C42+C47</f>
        <v>351002</v>
      </c>
      <c r="D48" s="14">
        <f t="shared" si="11"/>
        <v>323888</v>
      </c>
    </row>
    <row r="49" spans="1:4" ht="16" thickTop="1" x14ac:dyDescent="0.2"/>
    <row r="50" spans="1:4" x14ac:dyDescent="0.2">
      <c r="A50" t="s">
        <v>34</v>
      </c>
    </row>
    <row r="51" spans="1:4" x14ac:dyDescent="0.2">
      <c r="A51" s="1" t="s">
        <v>35</v>
      </c>
      <c r="B51" s="12">
        <v>64115</v>
      </c>
      <c r="C51" s="12">
        <v>54763</v>
      </c>
      <c r="D51" s="12">
        <v>42296</v>
      </c>
    </row>
    <row r="52" spans="1:4" x14ac:dyDescent="0.2">
      <c r="A52" s="1" t="s">
        <v>36</v>
      </c>
      <c r="B52" s="12">
        <v>60845</v>
      </c>
      <c r="C52" s="12">
        <v>47493</v>
      </c>
      <c r="D52" s="12">
        <v>42684</v>
      </c>
    </row>
    <row r="53" spans="1:4" x14ac:dyDescent="0.2">
      <c r="A53" s="1" t="s">
        <v>37</v>
      </c>
      <c r="B53" s="12">
        <v>7912</v>
      </c>
      <c r="C53" s="12">
        <v>7612</v>
      </c>
      <c r="D53" s="12">
        <v>6643</v>
      </c>
    </row>
    <row r="54" spans="1:4" x14ac:dyDescent="0.2">
      <c r="A54" s="1" t="s">
        <v>38</v>
      </c>
      <c r="B54" s="12">
        <v>9982</v>
      </c>
      <c r="C54" s="12">
        <v>6000</v>
      </c>
      <c r="D54" s="12">
        <v>4996</v>
      </c>
    </row>
    <row r="55" spans="1:4" x14ac:dyDescent="0.2">
      <c r="A55" s="1" t="s">
        <v>39</v>
      </c>
      <c r="B55" s="12">
        <v>11128</v>
      </c>
      <c r="C55" s="12">
        <v>9613</v>
      </c>
      <c r="D55" s="12">
        <v>8773</v>
      </c>
    </row>
    <row r="56" spans="1:4" x14ac:dyDescent="0.2">
      <c r="A56" s="8" t="s">
        <v>40</v>
      </c>
      <c r="B56" s="13">
        <f>+SUM(B51:B55)</f>
        <v>153982</v>
      </c>
      <c r="C56" s="13">
        <f t="shared" ref="C56:D56" si="12">+SUM(C51:C55)</f>
        <v>125481</v>
      </c>
      <c r="D56" s="13">
        <f t="shared" si="12"/>
        <v>105392</v>
      </c>
    </row>
    <row r="57" spans="1:4" x14ac:dyDescent="0.2">
      <c r="A57" t="s">
        <v>51</v>
      </c>
      <c r="B57" s="12"/>
      <c r="C57" s="12"/>
      <c r="D57" s="12"/>
    </row>
    <row r="58" spans="1:4" x14ac:dyDescent="0.2">
      <c r="A58" s="1" t="s">
        <v>37</v>
      </c>
      <c r="B58" s="12"/>
      <c r="C58" s="12"/>
      <c r="D58" s="12"/>
    </row>
    <row r="59" spans="1:4" x14ac:dyDescent="0.2">
      <c r="A59" s="1" t="s">
        <v>39</v>
      </c>
      <c r="B59" s="12">
        <v>98959</v>
      </c>
      <c r="C59" s="12">
        <v>109106</v>
      </c>
      <c r="D59" s="12">
        <v>98667</v>
      </c>
    </row>
    <row r="60" spans="1:4" x14ac:dyDescent="0.2">
      <c r="A60" s="1" t="s">
        <v>52</v>
      </c>
      <c r="B60" s="12">
        <v>49142</v>
      </c>
      <c r="C60" s="12">
        <v>53325</v>
      </c>
      <c r="D60" s="12">
        <v>54490</v>
      </c>
    </row>
    <row r="61" spans="1:4" x14ac:dyDescent="0.2">
      <c r="A61" s="22" t="s">
        <v>53</v>
      </c>
      <c r="B61" s="21">
        <f>+B59+B60</f>
        <v>148101</v>
      </c>
      <c r="C61" s="21">
        <f t="shared" ref="C61:D61" si="13">+C59+C60</f>
        <v>162431</v>
      </c>
      <c r="D61" s="21">
        <f t="shared" si="13"/>
        <v>153157</v>
      </c>
    </row>
    <row r="62" spans="1:4" x14ac:dyDescent="0.2">
      <c r="A62" s="8" t="s">
        <v>41</v>
      </c>
      <c r="B62" s="13">
        <f>+B56+B61</f>
        <v>302083</v>
      </c>
      <c r="C62" s="13">
        <f t="shared" ref="C62:D62" si="14">+C56+C61</f>
        <v>287912</v>
      </c>
      <c r="D62" s="13">
        <f t="shared" si="14"/>
        <v>258549</v>
      </c>
    </row>
    <row r="63" spans="1:4" x14ac:dyDescent="0.2">
      <c r="B63" s="12"/>
      <c r="C63" s="12"/>
      <c r="D63" s="12"/>
    </row>
    <row r="64" spans="1:4" x14ac:dyDescent="0.2">
      <c r="A64" t="s">
        <v>42</v>
      </c>
      <c r="B64" s="12"/>
      <c r="C64" s="12"/>
      <c r="D64" s="12"/>
    </row>
    <row r="65" spans="1:4" x14ac:dyDescent="0.2">
      <c r="A65" s="1" t="s">
        <v>54</v>
      </c>
      <c r="B65" s="12">
        <v>64849</v>
      </c>
      <c r="C65" s="12">
        <v>57365</v>
      </c>
      <c r="D65" s="12">
        <v>50779</v>
      </c>
    </row>
    <row r="66" spans="1:4" x14ac:dyDescent="0.2">
      <c r="A66" s="1" t="s">
        <v>43</v>
      </c>
      <c r="B66" s="12">
        <v>-3068</v>
      </c>
      <c r="C66" s="12">
        <v>5562</v>
      </c>
      <c r="D66" s="12">
        <v>14966</v>
      </c>
    </row>
    <row r="67" spans="1:4" x14ac:dyDescent="0.2">
      <c r="A67" s="1" t="s">
        <v>44</v>
      </c>
      <c r="B67" s="12">
        <v>-11109</v>
      </c>
      <c r="C67" s="12">
        <v>163</v>
      </c>
      <c r="D67" s="12">
        <v>-406</v>
      </c>
    </row>
    <row r="68" spans="1:4" x14ac:dyDescent="0.2">
      <c r="A68" s="8" t="s">
        <v>45</v>
      </c>
      <c r="B68" s="13">
        <f>+SUM(B65:B67)</f>
        <v>50672</v>
      </c>
      <c r="C68" s="13">
        <f t="shared" ref="C68:D68" si="15">+SUM(C65:C67)</f>
        <v>63090</v>
      </c>
      <c r="D68" s="13">
        <f t="shared" si="15"/>
        <v>65339</v>
      </c>
    </row>
    <row r="69" spans="1:4" ht="16" thickBot="1" x14ac:dyDescent="0.25">
      <c r="A69" s="9" t="s">
        <v>46</v>
      </c>
      <c r="B69" s="14">
        <f>+B68+B62</f>
        <v>352755</v>
      </c>
      <c r="C69" s="14">
        <f t="shared" ref="C69:D69" si="16">+C68+C62</f>
        <v>351002</v>
      </c>
      <c r="D69" s="14">
        <f t="shared" si="16"/>
        <v>323888</v>
      </c>
    </row>
    <row r="70" spans="1:4" ht="16" thickTop="1" x14ac:dyDescent="0.2"/>
    <row r="71" spans="1:4" x14ac:dyDescent="0.2">
      <c r="A71" s="32" t="s">
        <v>55</v>
      </c>
      <c r="B71" s="32"/>
      <c r="C71" s="32"/>
      <c r="D71" s="32"/>
    </row>
    <row r="72" spans="1:4" x14ac:dyDescent="0.2">
      <c r="B72" s="31" t="s">
        <v>23</v>
      </c>
      <c r="C72" s="31"/>
      <c r="D72" s="31"/>
    </row>
    <row r="73" spans="1:4" x14ac:dyDescent="0.2">
      <c r="B73" s="7">
        <f>+B33</f>
        <v>2022</v>
      </c>
      <c r="C73" s="7">
        <f t="shared" ref="C73:D73" si="17">+C33</f>
        <v>2021</v>
      </c>
      <c r="D73" s="7">
        <f t="shared" si="17"/>
        <v>2020</v>
      </c>
    </row>
    <row r="75" spans="1:4" x14ac:dyDescent="0.2">
      <c r="A75" s="7" t="s">
        <v>56</v>
      </c>
      <c r="B75" s="15"/>
      <c r="C75" s="15"/>
      <c r="D75" s="15"/>
    </row>
    <row r="76" spans="1:4" x14ac:dyDescent="0.2">
      <c r="A76" t="s">
        <v>57</v>
      </c>
      <c r="B76" s="12">
        <f>+B22</f>
        <v>99803</v>
      </c>
      <c r="C76" s="12">
        <f t="shared" ref="C76:D76" si="18">+C22</f>
        <v>94680</v>
      </c>
      <c r="D76" s="12">
        <f t="shared" si="18"/>
        <v>57411</v>
      </c>
    </row>
    <row r="77" spans="1:4" x14ac:dyDescent="0.2">
      <c r="A77" s="11" t="s">
        <v>18</v>
      </c>
      <c r="B77" s="15"/>
      <c r="C77" s="15"/>
      <c r="D77" s="15"/>
    </row>
    <row r="78" spans="1:4" x14ac:dyDescent="0.2">
      <c r="A78" s="1" t="s">
        <v>58</v>
      </c>
      <c r="B78" s="12"/>
      <c r="C78" s="12"/>
      <c r="D78" s="12"/>
    </row>
    <row r="79" spans="1:4" x14ac:dyDescent="0.2">
      <c r="A79" s="3" t="s">
        <v>59</v>
      </c>
      <c r="B79" s="12">
        <v>11104</v>
      </c>
      <c r="C79" s="12">
        <v>11284</v>
      </c>
      <c r="D79" s="12">
        <v>11056</v>
      </c>
    </row>
    <row r="80" spans="1:4" x14ac:dyDescent="0.2">
      <c r="A80" s="3" t="s">
        <v>83</v>
      </c>
      <c r="B80" s="12">
        <v>9038</v>
      </c>
      <c r="C80" s="12">
        <v>7906</v>
      </c>
      <c r="D80" s="12">
        <v>6829</v>
      </c>
    </row>
    <row r="81" spans="1:4" x14ac:dyDescent="0.2">
      <c r="A81" s="3" t="s">
        <v>60</v>
      </c>
      <c r="B81" s="12">
        <v>895</v>
      </c>
      <c r="C81" s="12">
        <v>-4774</v>
      </c>
      <c r="D81" s="12">
        <v>-215</v>
      </c>
    </row>
    <row r="82" spans="1:4" x14ac:dyDescent="0.2">
      <c r="A82" s="3" t="s">
        <v>61</v>
      </c>
      <c r="B82" s="12">
        <v>111</v>
      </c>
      <c r="C82" s="12">
        <v>-147</v>
      </c>
      <c r="D82" s="12">
        <v>-97</v>
      </c>
    </row>
    <row r="83" spans="1:4" x14ac:dyDescent="0.2">
      <c r="A83" t="s">
        <v>62</v>
      </c>
      <c r="B83" s="12"/>
      <c r="C83" s="12"/>
      <c r="D83" s="12"/>
    </row>
    <row r="84" spans="1:4" x14ac:dyDescent="0.2">
      <c r="A84" s="1" t="s">
        <v>28</v>
      </c>
      <c r="B84" s="12">
        <v>-1823</v>
      </c>
      <c r="C84" s="12">
        <v>-10125</v>
      </c>
      <c r="D84" s="12">
        <v>6917</v>
      </c>
    </row>
    <row r="85" spans="1:4" x14ac:dyDescent="0.2">
      <c r="A85" s="1" t="s">
        <v>29</v>
      </c>
      <c r="B85" s="12">
        <v>1484</v>
      </c>
      <c r="C85" s="12">
        <v>-2642</v>
      </c>
      <c r="D85" s="12">
        <v>-127</v>
      </c>
    </row>
    <row r="86" spans="1:4" x14ac:dyDescent="0.2">
      <c r="A86" s="1" t="s">
        <v>47</v>
      </c>
      <c r="B86" s="12">
        <v>-7520</v>
      </c>
      <c r="C86" s="12">
        <v>-3903</v>
      </c>
      <c r="D86" s="12">
        <v>1553</v>
      </c>
    </row>
    <row r="87" spans="1:4" x14ac:dyDescent="0.2">
      <c r="A87" s="1" t="s">
        <v>84</v>
      </c>
      <c r="B87" s="12">
        <v>-6499</v>
      </c>
      <c r="C87" s="12">
        <v>-8042</v>
      </c>
      <c r="D87" s="12">
        <v>-9588</v>
      </c>
    </row>
    <row r="88" spans="1:4" x14ac:dyDescent="0.2">
      <c r="A88" s="1" t="s">
        <v>35</v>
      </c>
      <c r="B88" s="12">
        <v>9448</v>
      </c>
      <c r="C88" s="12">
        <v>12326</v>
      </c>
      <c r="D88" s="12">
        <v>-4062</v>
      </c>
    </row>
    <row r="89" spans="1:4" x14ac:dyDescent="0.2">
      <c r="A89" s="1" t="s">
        <v>37</v>
      </c>
      <c r="B89" s="12">
        <v>478</v>
      </c>
      <c r="C89" s="12">
        <v>1676</v>
      </c>
      <c r="D89" s="12">
        <v>2081</v>
      </c>
    </row>
    <row r="90" spans="1:4" x14ac:dyDescent="0.2">
      <c r="A90" s="1" t="s">
        <v>85</v>
      </c>
      <c r="B90" s="12">
        <v>5632</v>
      </c>
      <c r="C90" s="12">
        <v>5799</v>
      </c>
      <c r="D90" s="12">
        <v>8916</v>
      </c>
    </row>
    <row r="91" spans="1:4" x14ac:dyDescent="0.2">
      <c r="A91" s="8" t="s">
        <v>63</v>
      </c>
      <c r="B91" s="13">
        <f>+SUM(B76:B90)</f>
        <v>122151</v>
      </c>
      <c r="C91" s="13">
        <f t="shared" ref="C91:D91" si="19">+SUM(C76:C90)</f>
        <v>104038</v>
      </c>
      <c r="D91" s="13">
        <f t="shared" si="19"/>
        <v>80674</v>
      </c>
    </row>
    <row r="92" spans="1:4" x14ac:dyDescent="0.2">
      <c r="A92" s="7" t="s">
        <v>64</v>
      </c>
      <c r="B92" s="12"/>
      <c r="C92" s="12"/>
      <c r="D92" s="12"/>
    </row>
    <row r="93" spans="1:4" x14ac:dyDescent="0.2">
      <c r="A93" s="1" t="s">
        <v>65</v>
      </c>
      <c r="B93" s="12">
        <v>-76923</v>
      </c>
      <c r="C93" s="12">
        <v>-109558</v>
      </c>
      <c r="D93" s="12">
        <v>-114938</v>
      </c>
    </row>
    <row r="94" spans="1:4" x14ac:dyDescent="0.2">
      <c r="A94" s="1" t="s">
        <v>66</v>
      </c>
      <c r="B94" s="12">
        <v>29917</v>
      </c>
      <c r="C94" s="12">
        <v>59023</v>
      </c>
      <c r="D94" s="12">
        <v>69918</v>
      </c>
    </row>
    <row r="95" spans="1:4" x14ac:dyDescent="0.2">
      <c r="A95" s="1" t="s">
        <v>67</v>
      </c>
      <c r="B95" s="12">
        <v>37446</v>
      </c>
      <c r="C95" s="12">
        <v>47460</v>
      </c>
      <c r="D95" s="12">
        <v>50473</v>
      </c>
    </row>
    <row r="96" spans="1:4" x14ac:dyDescent="0.2">
      <c r="A96" s="1" t="s">
        <v>68</v>
      </c>
      <c r="B96" s="12">
        <v>-10708</v>
      </c>
      <c r="C96" s="12">
        <v>-11085</v>
      </c>
      <c r="D96" s="12">
        <v>-7309</v>
      </c>
    </row>
    <row r="97" spans="1:4" x14ac:dyDescent="0.2">
      <c r="A97" s="1" t="s">
        <v>69</v>
      </c>
      <c r="B97" s="12">
        <v>-306</v>
      </c>
      <c r="C97" s="12">
        <v>-33</v>
      </c>
      <c r="D97" s="12">
        <v>-1524</v>
      </c>
    </row>
    <row r="98" spans="1:4" x14ac:dyDescent="0.2">
      <c r="A98" s="1" t="s">
        <v>61</v>
      </c>
      <c r="B98" s="12">
        <v>-1780</v>
      </c>
      <c r="C98" s="12">
        <v>-352</v>
      </c>
      <c r="D98" s="12">
        <v>-909</v>
      </c>
    </row>
    <row r="99" spans="1:4" x14ac:dyDescent="0.2">
      <c r="A99" s="8" t="s">
        <v>70</v>
      </c>
      <c r="B99" s="13">
        <f>+SUM(B93:B98)</f>
        <v>-22354</v>
      </c>
      <c r="C99" s="13">
        <f t="shared" ref="C99:D99" si="20">+SUM(C93:C98)</f>
        <v>-14545</v>
      </c>
      <c r="D99" s="13">
        <f t="shared" si="20"/>
        <v>-4289</v>
      </c>
    </row>
    <row r="100" spans="1:4" x14ac:dyDescent="0.2">
      <c r="A100" s="7" t="s">
        <v>71</v>
      </c>
      <c r="B100" s="12"/>
      <c r="C100" s="12"/>
      <c r="D100" s="12"/>
    </row>
    <row r="101" spans="1:4" x14ac:dyDescent="0.2">
      <c r="A101" s="1" t="s">
        <v>86</v>
      </c>
      <c r="B101" s="12">
        <v>-6223</v>
      </c>
      <c r="C101" s="12">
        <v>-6556</v>
      </c>
      <c r="D101" s="12">
        <v>-3634</v>
      </c>
    </row>
    <row r="102" spans="1:4" x14ac:dyDescent="0.2">
      <c r="A102" s="1" t="s">
        <v>72</v>
      </c>
      <c r="B102" s="12">
        <v>-14841</v>
      </c>
      <c r="C102" s="12">
        <v>-14467</v>
      </c>
      <c r="D102" s="12">
        <v>-14081</v>
      </c>
    </row>
    <row r="103" spans="1:4" x14ac:dyDescent="0.2">
      <c r="A103" s="1" t="s">
        <v>73</v>
      </c>
      <c r="B103" s="12">
        <v>-89402</v>
      </c>
      <c r="C103" s="12">
        <v>-85971</v>
      </c>
      <c r="D103" s="12">
        <v>-72358</v>
      </c>
    </row>
    <row r="104" spans="1:4" x14ac:dyDescent="0.2">
      <c r="A104" s="1" t="s">
        <v>74</v>
      </c>
      <c r="B104" s="12">
        <v>5465</v>
      </c>
      <c r="C104" s="12">
        <v>20393</v>
      </c>
      <c r="D104" s="12">
        <v>16091</v>
      </c>
    </row>
    <row r="105" spans="1:4" x14ac:dyDescent="0.2">
      <c r="A105" s="1" t="s">
        <v>75</v>
      </c>
      <c r="B105" s="12">
        <v>-9543</v>
      </c>
      <c r="C105" s="12">
        <v>-8750</v>
      </c>
      <c r="D105" s="12">
        <v>-12629</v>
      </c>
    </row>
    <row r="106" spans="1:4" x14ac:dyDescent="0.2">
      <c r="A106" s="1" t="s">
        <v>76</v>
      </c>
      <c r="B106" s="12">
        <v>3955</v>
      </c>
      <c r="C106" s="12">
        <v>1022</v>
      </c>
      <c r="D106" s="12">
        <v>-963</v>
      </c>
    </row>
    <row r="107" spans="1:4" x14ac:dyDescent="0.2">
      <c r="A107" s="1" t="s">
        <v>61</v>
      </c>
      <c r="B107" s="12">
        <v>-160</v>
      </c>
      <c r="C107" s="12">
        <v>976</v>
      </c>
      <c r="D107" s="12">
        <v>754</v>
      </c>
    </row>
    <row r="108" spans="1:4" x14ac:dyDescent="0.2">
      <c r="A108" s="8" t="s">
        <v>77</v>
      </c>
      <c r="B108" s="13">
        <f>+SUM(B101:B107)</f>
        <v>-110749</v>
      </c>
      <c r="C108" s="13">
        <f t="shared" ref="C108:D108" si="21">+SUM(C101:C107)</f>
        <v>-93353</v>
      </c>
      <c r="D108" s="13">
        <f t="shared" si="21"/>
        <v>-86820</v>
      </c>
    </row>
    <row r="109" spans="1:4" x14ac:dyDescent="0.2">
      <c r="A109" s="8" t="s">
        <v>78</v>
      </c>
      <c r="B109" s="13">
        <f>+B91+B99+B108</f>
        <v>-10952</v>
      </c>
      <c r="C109" s="13">
        <f t="shared" ref="C109:D109" si="22">+C91+C99+C108</f>
        <v>-3860</v>
      </c>
      <c r="D109" s="13">
        <f t="shared" si="22"/>
        <v>-10435</v>
      </c>
    </row>
    <row r="110" spans="1:4" ht="16" thickBot="1" x14ac:dyDescent="0.25">
      <c r="A110" s="9" t="s">
        <v>79</v>
      </c>
      <c r="B110" s="14">
        <v>24977</v>
      </c>
      <c r="C110" s="14">
        <v>35929</v>
      </c>
      <c r="D110" s="14">
        <v>39789</v>
      </c>
    </row>
    <row r="111" spans="1:4" ht="16" thickTop="1" x14ac:dyDescent="0.2">
      <c r="B111" s="12"/>
      <c r="C111" s="12"/>
      <c r="D111" s="12"/>
    </row>
    <row r="112" spans="1:4" x14ac:dyDescent="0.2">
      <c r="A112" t="s">
        <v>80</v>
      </c>
      <c r="B112" s="12"/>
      <c r="C112" s="12"/>
      <c r="D112" s="12"/>
    </row>
    <row r="113" spans="1:4" x14ac:dyDescent="0.2">
      <c r="A113" t="s">
        <v>81</v>
      </c>
      <c r="B113" s="12">
        <v>19573</v>
      </c>
      <c r="C113" s="12">
        <v>25385</v>
      </c>
      <c r="D113" s="12">
        <v>9501</v>
      </c>
    </row>
    <row r="114" spans="1:4" x14ac:dyDescent="0.2">
      <c r="A114" t="s">
        <v>82</v>
      </c>
      <c r="B114" s="12">
        <v>2865</v>
      </c>
      <c r="C114" s="12">
        <v>2687</v>
      </c>
      <c r="D114" s="12">
        <v>3002</v>
      </c>
    </row>
  </sheetData>
  <mergeCells count="6">
    <mergeCell ref="B3:D3"/>
    <mergeCell ref="B32:D32"/>
    <mergeCell ref="B72:D72"/>
    <mergeCell ref="A2:D2"/>
    <mergeCell ref="A31:D31"/>
    <mergeCell ref="A71: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4"/>
  <sheetViews>
    <sheetView tabSelected="1" topLeftCell="A45" zoomScale="120" zoomScaleNormal="120" workbookViewId="0">
      <selection activeCell="B7" sqref="B7:H7"/>
    </sheetView>
  </sheetViews>
  <sheetFormatPr baseColWidth="10" defaultColWidth="8.83203125" defaultRowHeight="15" x14ac:dyDescent="0.2"/>
  <cols>
    <col min="1" max="1" width="4.6640625" customWidth="1"/>
    <col min="2" max="2" width="44.83203125" customWidth="1"/>
    <col min="3" max="3" width="12.6640625" bestFit="1" customWidth="1"/>
    <col min="4" max="5" width="11.1640625" bestFit="1" customWidth="1"/>
    <col min="6" max="6" width="43.5" customWidth="1"/>
    <col min="14" max="14" width="22.33203125" customWidth="1"/>
  </cols>
  <sheetData>
    <row r="1" spans="1:17" ht="60" customHeight="1" x14ac:dyDescent="0.3">
      <c r="A1" s="6"/>
      <c r="B1" s="20" t="s">
        <v>0</v>
      </c>
      <c r="C1" s="19"/>
      <c r="D1" s="19"/>
      <c r="E1" s="19"/>
      <c r="F1" s="30" t="s">
        <v>174</v>
      </c>
      <c r="G1" s="19"/>
      <c r="H1" s="19"/>
      <c r="I1" s="19"/>
      <c r="J1" s="19"/>
    </row>
    <row r="2" spans="1:17" x14ac:dyDescent="0.2">
      <c r="C2" s="31" t="s">
        <v>23</v>
      </c>
      <c r="D2" s="31"/>
      <c r="E2" s="31"/>
    </row>
    <row r="3" spans="1:17" x14ac:dyDescent="0.2">
      <c r="C3" s="7">
        <f>+'Financial Statements'!B4</f>
        <v>2022</v>
      </c>
      <c r="D3" s="7">
        <f>+'Financial Statements'!C4</f>
        <v>2021</v>
      </c>
      <c r="E3" s="7">
        <f>+'Financial Statements'!D4</f>
        <v>2020</v>
      </c>
      <c r="N3" s="7" t="s">
        <v>151</v>
      </c>
      <c r="O3" s="7">
        <f>'Financial Statements'!B8</f>
        <v>394328</v>
      </c>
      <c r="P3" s="7">
        <f>'Financial Statements'!C8</f>
        <v>365817</v>
      </c>
      <c r="Q3" s="7">
        <f>'Financial Statements'!D8</f>
        <v>274515</v>
      </c>
    </row>
    <row r="4" spans="1:17" x14ac:dyDescent="0.2">
      <c r="A4" s="18">
        <v>1</v>
      </c>
      <c r="B4" s="7" t="s">
        <v>99</v>
      </c>
      <c r="N4" s="7" t="s">
        <v>154</v>
      </c>
      <c r="O4" s="7">
        <f>'Financial Statements'!B12</f>
        <v>223546</v>
      </c>
      <c r="P4" s="7">
        <f>'Financial Statements'!C12</f>
        <v>212981</v>
      </c>
      <c r="Q4" s="7">
        <f>'Financial Statements'!D12</f>
        <v>169559</v>
      </c>
    </row>
    <row r="5" spans="1:17" x14ac:dyDescent="0.2">
      <c r="A5" s="18">
        <f>+A4+0.1</f>
        <v>1.1000000000000001</v>
      </c>
      <c r="B5" s="1" t="s">
        <v>100</v>
      </c>
      <c r="C5" s="24">
        <f>'Financial Statements'!B42/'Financial Statements'!B56</f>
        <v>0.87935602862672257</v>
      </c>
      <c r="D5" s="24">
        <f>'Financial Statements'!C42/'Financial Statements'!C56</f>
        <v>1.0745531195957954</v>
      </c>
      <c r="E5" s="24">
        <f>'Financial Statements'!D42/'Financial Statements'!D56</f>
        <v>1.3636044481554577</v>
      </c>
      <c r="N5" s="7" t="s">
        <v>157</v>
      </c>
      <c r="P5" s="7">
        <f>P4+'Financial Statements'!C39-'Financial Statements'!B39</f>
        <v>214615</v>
      </c>
      <c r="Q5" s="7">
        <f>Q4+'Financial Statements'!D39-'Financial Statements'!C39</f>
        <v>167040</v>
      </c>
    </row>
    <row r="6" spans="1:17" x14ac:dyDescent="0.2">
      <c r="A6" s="18">
        <f t="shared" ref="A6:A13" si="0">+A5+0.1</f>
        <v>1.2000000000000002</v>
      </c>
      <c r="B6" s="1" t="s">
        <v>101</v>
      </c>
      <c r="C6" s="25">
        <f>('Financial Statements'!B36+'Financial Statements'!B37+'Financial Statements'!B38+'Financial Statements'!B44)/'Financial Statements'!B56</f>
        <v>1.2812731358210701</v>
      </c>
      <c r="D6" s="24">
        <f>('Financial Statements'!C36+'Financial Statements'!C37+'Financial Statements'!C38+'Financial Statements'!C44)/'Financial Statements'!C56</f>
        <v>1.7277037957937855</v>
      </c>
      <c r="E6" s="24">
        <f>('Financial Statements'!D36+'Financial Statements'!D37+'Financial Statements'!D38+'Financial Statements'!D44)/'Financial Statements'!D56</f>
        <v>1.9731099134659178</v>
      </c>
      <c r="F6" t="s">
        <v>172</v>
      </c>
    </row>
    <row r="7" spans="1:17" x14ac:dyDescent="0.2">
      <c r="A7" s="18">
        <f t="shared" si="0"/>
        <v>1.3000000000000003</v>
      </c>
      <c r="B7" s="36" t="s">
        <v>102</v>
      </c>
      <c r="C7" s="25">
        <f>('Financial Statements'!B36+'Financial Statements'!B37)/'Financial Statements'!B62</f>
        <v>0.15990307299649434</v>
      </c>
      <c r="D7" s="25">
        <f>('Financial Statements'!C36+'Financial Statements'!C37)/'Financial Statements'!C62</f>
        <v>0.21756300536274972</v>
      </c>
      <c r="E7" s="25">
        <f>('Financial Statements'!D36+'Financial Statements'!D37)/'Financial Statements'!D62</f>
        <v>0.35174377003972168</v>
      </c>
      <c r="F7" s="34" t="s">
        <v>158</v>
      </c>
      <c r="G7" s="34"/>
      <c r="H7" s="34"/>
    </row>
    <row r="8" spans="1:17" x14ac:dyDescent="0.2">
      <c r="A8" s="18">
        <f t="shared" si="0"/>
        <v>1.4000000000000004</v>
      </c>
      <c r="B8" s="1" t="s">
        <v>103</v>
      </c>
      <c r="C8" s="28">
        <f>'Financial Statements'!B42/'List of Ratios'!O11</f>
        <v>244.58995664739882</v>
      </c>
      <c r="D8" s="29">
        <f>'Financial Statements'!C42/'List of Ratios'!P11</f>
        <v>247.34955018344473</v>
      </c>
      <c r="E8" s="29">
        <f>'Financial Statements'!D42/'List of Ratios'!Q11</f>
        <v>343.31820353559482</v>
      </c>
    </row>
    <row r="9" spans="1:17" x14ac:dyDescent="0.2">
      <c r="A9" s="18">
        <f t="shared" si="0"/>
        <v>1.5000000000000004</v>
      </c>
      <c r="B9" s="1" t="s">
        <v>104</v>
      </c>
      <c r="D9" s="29">
        <f>365/P16</f>
        <v>8.9041667253573475</v>
      </c>
      <c r="E9" s="29">
        <f>365/Q16</f>
        <v>11.184415650796085</v>
      </c>
    </row>
    <row r="10" spans="1:17" x14ac:dyDescent="0.2">
      <c r="A10" s="18">
        <f t="shared" si="0"/>
        <v>1.6000000000000005</v>
      </c>
      <c r="B10" s="1" t="s">
        <v>105</v>
      </c>
      <c r="D10" s="29">
        <f>385/P17</f>
        <v>96.377218119267823</v>
      </c>
      <c r="E10" s="29">
        <f>365/Q17</f>
        <v>109.99966075989784</v>
      </c>
    </row>
    <row r="11" spans="1:17" x14ac:dyDescent="0.2">
      <c r="A11" s="18">
        <f t="shared" si="0"/>
        <v>1.7000000000000006</v>
      </c>
      <c r="B11" s="1" t="s">
        <v>106</v>
      </c>
      <c r="D11" s="29">
        <f>365/'List of Ratios'!P15</f>
        <v>23.474788396019502</v>
      </c>
      <c r="E11" s="29">
        <f>365/'List of Ratios'!Q15</f>
        <v>31.282358583926801</v>
      </c>
      <c r="N11" s="35" t="s">
        <v>150</v>
      </c>
      <c r="O11" s="35">
        <f>('Financial Statements'!B12+'Financial Statements'!B19-SUM('Financial Statements'!B79:B82))/365</f>
        <v>553.6</v>
      </c>
      <c r="P11" s="35">
        <f>('Financial Statements'!C12+'Financial Statements'!C19-SUM('Financial Statements'!C79:C82))/365</f>
        <v>545.1232876712329</v>
      </c>
      <c r="Q11" s="35">
        <f>('Financial Statements'!D12+'Financial Statements'!D19-SUM('Financial Statements'!D79:D82))/365</f>
        <v>418.6</v>
      </c>
    </row>
    <row r="12" spans="1:17" x14ac:dyDescent="0.2">
      <c r="A12" s="18">
        <f t="shared" si="0"/>
        <v>1.8000000000000007</v>
      </c>
      <c r="B12" s="1" t="s">
        <v>107</v>
      </c>
      <c r="D12" s="29">
        <f>D9+D11-D10</f>
        <v>-63.998262997890976</v>
      </c>
      <c r="E12" s="29">
        <f>E9+E11-E10</f>
        <v>-67.532886525174945</v>
      </c>
    </row>
    <row r="13" spans="1:17" x14ac:dyDescent="0.2">
      <c r="A13" s="18">
        <f t="shared" si="0"/>
        <v>1.9000000000000008</v>
      </c>
      <c r="B13" s="1" t="s">
        <v>108</v>
      </c>
      <c r="C13" s="23">
        <f>('Financial Statements'!B42-'Financial Statements'!B56)/'Financial Statements'!B8</f>
        <v>-4.711052727678481E-2</v>
      </c>
      <c r="D13" s="23">
        <f>('Financial Statements'!C42-'Financial Statements'!C56)/'Financial Statements'!C8</f>
        <v>2.557289573748623E-2</v>
      </c>
      <c r="E13" s="23">
        <f>('Financial Statements'!D42-'Financial Statements'!D56)/'Financial Statements'!D8</f>
        <v>0.13959528623208203</v>
      </c>
    </row>
    <row r="14" spans="1:17" x14ac:dyDescent="0.2">
      <c r="A14" s="18"/>
      <c r="B14" s="3" t="s">
        <v>109</v>
      </c>
      <c r="C14">
        <f>'Financial Statements'!B42-'Financial Statements'!B56</f>
        <v>-18577</v>
      </c>
      <c r="D14">
        <f>'Financial Statements'!C42-'Financial Statements'!C56</f>
        <v>9355</v>
      </c>
      <c r="E14">
        <f>'Financial Statements'!D42-'Financial Statements'!D56</f>
        <v>38321</v>
      </c>
      <c r="N14" s="7" t="s">
        <v>155</v>
      </c>
    </row>
    <row r="15" spans="1:17" x14ac:dyDescent="0.2">
      <c r="A15" s="18"/>
      <c r="N15" s="7" t="s">
        <v>152</v>
      </c>
      <c r="O15" s="7"/>
      <c r="P15" s="7">
        <f>'List of Ratios'!P3/(AVERAGE('Financial Statements'!B38:D38))</f>
        <v>15.54859595930974</v>
      </c>
      <c r="Q15" s="7">
        <f>'List of Ratios'!Q3/(AVERAGE('Financial Statements'!B38:D38))</f>
        <v>11.667918166104673</v>
      </c>
    </row>
    <row r="16" spans="1:17" x14ac:dyDescent="0.2">
      <c r="A16" s="18">
        <f>+A4+1</f>
        <v>2</v>
      </c>
      <c r="B16" s="17" t="s">
        <v>110</v>
      </c>
      <c r="N16" s="7" t="s">
        <v>153</v>
      </c>
      <c r="O16" s="7"/>
      <c r="P16" s="35">
        <f>P4/ AVERAGE('Financial Statements'!B39:D39)</f>
        <v>40.992044652595112</v>
      </c>
      <c r="Q16" s="35">
        <f>Q4/AVERAGE('Financial Statements'!B39:D39)</f>
        <v>32.634695579649708</v>
      </c>
    </row>
    <row r="17" spans="1:17" x14ac:dyDescent="0.2">
      <c r="A17" s="18">
        <f>+A16+0.1</f>
        <v>2.1</v>
      </c>
      <c r="B17" s="1" t="s">
        <v>9</v>
      </c>
      <c r="C17" s="26">
        <f>'Financial Statements'!B13/'Financial Statements'!B8</f>
        <v>0.43309630561360085</v>
      </c>
      <c r="D17" s="26">
        <f>'Financial Statements'!C13/'Financial Statements'!C8</f>
        <v>0.41779359625167778</v>
      </c>
      <c r="E17" s="26">
        <f>'Financial Statements'!D13/'Financial Statements'!D8</f>
        <v>0.38233247727810865</v>
      </c>
      <c r="N17" s="7" t="s">
        <v>156</v>
      </c>
      <c r="P17" s="7">
        <f>P5/AVERAGE('Financial Statements'!B51:D51)</f>
        <v>3.9947199920582728</v>
      </c>
      <c r="Q17" s="7">
        <f>Q5/AVERAGE('Financial Statements'!B52:D52)</f>
        <v>3.3181920514891869</v>
      </c>
    </row>
    <row r="18" spans="1:17" x14ac:dyDescent="0.2">
      <c r="A18" s="18">
        <f>+A17+0.1</f>
        <v>2.2000000000000002</v>
      </c>
      <c r="B18" s="1" t="s">
        <v>111</v>
      </c>
      <c r="C18" s="26">
        <f>('Financial Statements'!B18+'Financial Statements'!B79)/'Financial Statements'!B8</f>
        <v>0.3310467428130896</v>
      </c>
      <c r="D18" s="26">
        <f>('Financial Statements'!C18+'Financial Statements'!C79)/'Financial Statements'!C8</f>
        <v>0.32866979938056462</v>
      </c>
      <c r="E18" s="26">
        <f>('Financial Statements'!D18+'Financial Statements'!D79)/'Financial Statements'!D8</f>
        <v>0.2817478097736007</v>
      </c>
    </row>
    <row r="19" spans="1:17" x14ac:dyDescent="0.2">
      <c r="A19" s="18"/>
      <c r="B19" s="3" t="s">
        <v>112</v>
      </c>
      <c r="C19">
        <f>('Financial Statements'!B18+'Financial Statements'!B79)</f>
        <v>130541</v>
      </c>
      <c r="D19">
        <f>'Financial Statements'!C18+'Financial Statements'!C79</f>
        <v>120233</v>
      </c>
      <c r="E19">
        <f>'Financial Statements'!D18+'Financial Statements'!D79</f>
        <v>77344</v>
      </c>
    </row>
    <row r="20" spans="1:17" x14ac:dyDescent="0.2">
      <c r="A20" s="18">
        <f>+A18+0.1</f>
        <v>2.3000000000000003</v>
      </c>
      <c r="B20" s="1" t="s">
        <v>113</v>
      </c>
      <c r="C20" s="26">
        <f>'Financial Statements'!B18/'Financial Statements'!B8</f>
        <v>0.30288744395528594</v>
      </c>
      <c r="D20" s="26">
        <f>'Financial Statements'!C18/'Financial Statements'!C8</f>
        <v>0.29782377527561593</v>
      </c>
      <c r="E20" s="26">
        <f>'Financial Statements'!D18/'Financial Statements'!D8</f>
        <v>0.24147314354406862</v>
      </c>
    </row>
    <row r="21" spans="1:17" x14ac:dyDescent="0.2">
      <c r="A21" s="18"/>
      <c r="B21" s="3" t="s">
        <v>114</v>
      </c>
      <c r="C21">
        <f>'Financial Statements'!B18</f>
        <v>119437</v>
      </c>
      <c r="D21">
        <f>'Financial Statements'!C18</f>
        <v>108949</v>
      </c>
      <c r="E21">
        <f>'Financial Statements'!D18</f>
        <v>66288</v>
      </c>
      <c r="N21" s="35" t="s">
        <v>175</v>
      </c>
      <c r="O21" s="34">
        <f>('Financial Statements'!B45-'Financial Statements'!C45)+'Financial Statements'!B79</f>
        <v>13781</v>
      </c>
      <c r="P21" s="34">
        <f>('Financial Statements'!C45-'Financial Statements'!D46)+'Financial Statements'!C79</f>
        <v>8202</v>
      </c>
      <c r="Q21" s="34"/>
    </row>
    <row r="22" spans="1:17" x14ac:dyDescent="0.2">
      <c r="A22" s="18">
        <f>+A20+0.1</f>
        <v>2.4000000000000004</v>
      </c>
      <c r="B22" s="1" t="s">
        <v>115</v>
      </c>
      <c r="C22" s="26">
        <f>'Financial Statements'!B22/'Financial Statements'!B8</f>
        <v>0.25309640705199732</v>
      </c>
      <c r="D22" s="26">
        <f>'Financial Statements'!C22/'Financial Statements'!C8</f>
        <v>0.25881793355694238</v>
      </c>
      <c r="E22" s="26">
        <f>'Financial Statements'!D22/'Financial Statements'!D8</f>
        <v>0.20913611278072236</v>
      </c>
    </row>
    <row r="23" spans="1:17" x14ac:dyDescent="0.2">
      <c r="A23" s="18"/>
    </row>
    <row r="24" spans="1:17" x14ac:dyDescent="0.2">
      <c r="A24" s="18">
        <f>+A16+1</f>
        <v>3</v>
      </c>
      <c r="B24" s="7" t="s">
        <v>116</v>
      </c>
    </row>
    <row r="25" spans="1:17" x14ac:dyDescent="0.2">
      <c r="A25" s="18">
        <f>+A24+0.1</f>
        <v>3.1</v>
      </c>
      <c r="B25" s="1" t="s">
        <v>117</v>
      </c>
      <c r="C25">
        <f>('Financial Statements'!B55+'Financial Statements'!B59)/'Financial Statements'!B68</f>
        <v>2.1725410483107042</v>
      </c>
      <c r="D25">
        <f>('Financial Statements'!C55+'Financial Statements'!C59)/'Financial Statements'!C68</f>
        <v>1.8817403708987162</v>
      </c>
      <c r="E25">
        <f>('Financial Statements'!D55+'Financial Statements'!D59)/'Financial Statements'!D68</f>
        <v>1.6443471739696047</v>
      </c>
    </row>
    <row r="26" spans="1:17" x14ac:dyDescent="0.2">
      <c r="A26" s="18">
        <f t="shared" ref="A26:A30" si="1">+A25+0.1</f>
        <v>3.2</v>
      </c>
      <c r="B26" s="1" t="s">
        <v>118</v>
      </c>
      <c r="C26">
        <f>('Financial Statements'!B55+'Financial Statements'!B59)/'Financial Statements'!B48</f>
        <v>0.31207778769967826</v>
      </c>
      <c r="D26">
        <f>('Financial Statements'!C55+'Financial Statements'!C59)/'Financial Statements'!C48</f>
        <v>0.33822884200090025</v>
      </c>
      <c r="E26">
        <f>('Financial Statements'!D55+'Financial Statements'!D59)/'Financial Statements'!D48</f>
        <v>0.33171960677765155</v>
      </c>
    </row>
    <row r="27" spans="1:17" x14ac:dyDescent="0.2">
      <c r="A27" s="18">
        <f t="shared" si="1"/>
        <v>3.3000000000000003</v>
      </c>
      <c r="B27" s="1" t="s">
        <v>119</v>
      </c>
      <c r="C27">
        <f>('Financial Statements'!B59+'Financial Statements'!B55)/('Financial Statements'!B55+'Financial Statements'!B59+'Financial Statements'!B68)</f>
        <v>0.68479525252085416</v>
      </c>
      <c r="D27">
        <f>('Financial Statements'!C59+'Financial Statements'!C55)/('Financial Statements'!C59+'Financial Statements'!C55+'Financial Statements'!C68)</f>
        <v>0.65298747586753136</v>
      </c>
      <c r="E27">
        <f>('Financial Statements'!D55+'Financial Statements'!D59)/('Financial Statements'!D55+'Financial Statements'!D59+'Financial Statements'!D68)</f>
        <v>0.62183482946422886</v>
      </c>
      <c r="F27" t="s">
        <v>159</v>
      </c>
    </row>
    <row r="28" spans="1:17" x14ac:dyDescent="0.2">
      <c r="A28" s="18">
        <f t="shared" si="1"/>
        <v>3.4000000000000004</v>
      </c>
      <c r="B28" s="1" t="s">
        <v>120</v>
      </c>
      <c r="C28">
        <f>('Financial Statements'!B22+'Financial Statements'!B19+'Financial Statements'!B21)/'Financial Statements'!B114</f>
        <v>41.455148342059339</v>
      </c>
      <c r="D28">
        <f>('Financial Statements'!C22+'Financial Statements'!C19+'Financial Statements'!C21)/'Financial Statements'!C114</f>
        <v>40.73874209155192</v>
      </c>
      <c r="E28">
        <f>('Financial Statements'!D22+'Financial Statements'!D19+'Financial Statements'!D21)/'Financial Statements'!D114</f>
        <v>22.616255829447034</v>
      </c>
      <c r="F28" t="s">
        <v>160</v>
      </c>
    </row>
    <row r="29" spans="1:17" x14ac:dyDescent="0.2">
      <c r="A29" s="18">
        <f t="shared" si="1"/>
        <v>3.5000000000000004</v>
      </c>
      <c r="B29" s="1" t="s">
        <v>121</v>
      </c>
      <c r="C29">
        <f>'Financial Statements'!B18/('Financial Statements'!B105+'Financial Statements'!B114)</f>
        <v>-17.88514525306978</v>
      </c>
      <c r="D29">
        <f>'Financial Statements'!C18/('Financial Statements'!C105+'Financial Statements'!C114)</f>
        <v>-17.969487052614216</v>
      </c>
      <c r="E29">
        <f>'Financial Statements'!D18/('Financial Statements'!D114+'Financial Statements'!D105)</f>
        <v>-6.8856341539420383</v>
      </c>
      <c r="F29" t="s">
        <v>161</v>
      </c>
    </row>
    <row r="30" spans="1:17" x14ac:dyDescent="0.2">
      <c r="A30" s="18">
        <f t="shared" si="1"/>
        <v>3.6000000000000005</v>
      </c>
      <c r="B30" s="1" t="s">
        <v>122</v>
      </c>
      <c r="C30">
        <f>C31/178.25</f>
        <v>667.87657784011219</v>
      </c>
      <c r="D30">
        <f>D31/178.25</f>
        <v>691.58485273492283</v>
      </c>
    </row>
    <row r="31" spans="1:17" x14ac:dyDescent="0.2">
      <c r="A31" s="18"/>
      <c r="B31" s="3" t="s">
        <v>123</v>
      </c>
      <c r="C31">
        <f>('Financial Statements'!B76+'Financial Statements'!B104+'List of Ratios'!O21)</f>
        <v>119049</v>
      </c>
      <c r="D31">
        <f>('Financial Statements'!C76+'Financial Statements'!C104+'List of Ratios'!P21)</f>
        <v>123275</v>
      </c>
      <c r="F31" t="s">
        <v>162</v>
      </c>
    </row>
    <row r="32" spans="1:17" x14ac:dyDescent="0.2">
      <c r="A32" s="18"/>
    </row>
    <row r="33" spans="1:6" x14ac:dyDescent="0.2">
      <c r="A33" s="18">
        <f>+A24+1</f>
        <v>4</v>
      </c>
      <c r="B33" s="17" t="s">
        <v>124</v>
      </c>
    </row>
    <row r="34" spans="1:6" x14ac:dyDescent="0.2">
      <c r="A34" s="18">
        <f>+A33+0.1</f>
        <v>4.0999999999999996</v>
      </c>
      <c r="B34" s="1" t="s">
        <v>125</v>
      </c>
      <c r="D34">
        <f>'Financial Statements'!C8/AVERAGE('Financial Statements'!B48:C48)</f>
        <v>1.0396116841466585</v>
      </c>
      <c r="E34">
        <f>'Financial Statements'!D8/AVERAGE('Financial Statements'!C48:D48)</f>
        <v>0.81351034983478787</v>
      </c>
    </row>
    <row r="35" spans="1:6" x14ac:dyDescent="0.2">
      <c r="A35" s="18">
        <f t="shared" ref="A35:A37" si="2">+A34+0.1</f>
        <v>4.1999999999999993</v>
      </c>
      <c r="B35" s="1" t="s">
        <v>126</v>
      </c>
      <c r="D35">
        <f>'Financial Statements'!C8/AVERAGE('Financial Statements'!B45:C45)</f>
        <v>8.970830216903515</v>
      </c>
      <c r="E35">
        <f>'Financial Statements'!D8/AVERAGE('Financial Statements'!C45:D45)</f>
        <v>7.2045508227698605</v>
      </c>
    </row>
    <row r="36" spans="1:6" x14ac:dyDescent="0.2">
      <c r="A36" s="18">
        <f t="shared" si="2"/>
        <v>4.2999999999999989</v>
      </c>
      <c r="B36" s="1" t="s">
        <v>127</v>
      </c>
      <c r="D36" s="34">
        <v>40.992040000000003</v>
      </c>
      <c r="E36" s="34">
        <v>32.634700000000002</v>
      </c>
      <c r="F36" t="s">
        <v>173</v>
      </c>
    </row>
    <row r="37" spans="1:6" x14ac:dyDescent="0.2">
      <c r="A37" s="18">
        <f t="shared" si="2"/>
        <v>4.3999999999999986</v>
      </c>
      <c r="B37" s="1" t="s">
        <v>128</v>
      </c>
      <c r="D37" s="26">
        <f>'Financial Statements'!C20/AVERAGE('Financial Statements'!B48:C48)</f>
        <v>0.31035428422026351</v>
      </c>
      <c r="E37" s="26">
        <f>'Financial Statements'!D20/AVERAGE('Financial Statements'!C48:D48)</f>
        <v>0.19882054853383516</v>
      </c>
    </row>
    <row r="38" spans="1:6" x14ac:dyDescent="0.2">
      <c r="A38" s="18"/>
    </row>
    <row r="39" spans="1:6" x14ac:dyDescent="0.2">
      <c r="A39" s="18">
        <f>+A33+1</f>
        <v>5</v>
      </c>
      <c r="B39" s="17" t="s">
        <v>129</v>
      </c>
    </row>
    <row r="40" spans="1:6" x14ac:dyDescent="0.2">
      <c r="A40" s="18">
        <f>+A39+0.1</f>
        <v>5.0999999999999996</v>
      </c>
      <c r="B40" s="1" t="s">
        <v>130</v>
      </c>
      <c r="C40">
        <f>176.6/C41</f>
        <v>1.0811558770778433E-2</v>
      </c>
      <c r="D40">
        <f>176.6/D41</f>
        <v>1.0463941698352346E-2</v>
      </c>
      <c r="E40">
        <f>176.6/E41</f>
        <v>1.0089495044503665E-2</v>
      </c>
      <c r="F40" t="s">
        <v>163</v>
      </c>
    </row>
    <row r="41" spans="1:6" x14ac:dyDescent="0.2">
      <c r="A41" s="18">
        <f t="shared" ref="A41:A44" si="3">+A40+0.1</f>
        <v>5.1999999999999993</v>
      </c>
      <c r="B41" s="3" t="s">
        <v>131</v>
      </c>
      <c r="C41">
        <f>'Financial Statements'!B22/'Financial Statements'!B25</f>
        <v>16334.369885433714</v>
      </c>
      <c r="D41">
        <f>'Financial Statements'!C22/'Financial Statements'!C25</f>
        <v>16877.005347593582</v>
      </c>
      <c r="E41">
        <f>'Financial Statements'!D22/'Financial Statements'!D25</f>
        <v>17503.353658536587</v>
      </c>
      <c r="F41" t="s">
        <v>164</v>
      </c>
    </row>
    <row r="42" spans="1:6" x14ac:dyDescent="0.2">
      <c r="A42" s="18">
        <f t="shared" si="3"/>
        <v>5.2999999999999989</v>
      </c>
      <c r="B42" s="1" t="s">
        <v>132</v>
      </c>
      <c r="C42">
        <f>176.99/C43</f>
        <v>2.1341350252604991E-2</v>
      </c>
      <c r="D42">
        <f>176.99/D43</f>
        <v>1.5738055159296244E-2</v>
      </c>
      <c r="E42">
        <f>176.99/E43</f>
        <v>8.8848497834371504E-3</v>
      </c>
      <c r="F42" t="s">
        <v>165</v>
      </c>
    </row>
    <row r="43" spans="1:6" x14ac:dyDescent="0.2">
      <c r="A43" s="18">
        <f t="shared" si="3"/>
        <v>5.3999999999999986</v>
      </c>
      <c r="B43" s="3" t="s">
        <v>133</v>
      </c>
      <c r="C43">
        <f>'Financial Statements'!B68/'Financial Statements'!B25</f>
        <v>8293.2896890343691</v>
      </c>
      <c r="D43">
        <f>'Financial Statements'!C68/'Financial Statements'!C25</f>
        <v>11245.989304812834</v>
      </c>
      <c r="E43">
        <f>'Financial Statements'!D68/'Financial Statements'!D25</f>
        <v>19920.426829268294</v>
      </c>
      <c r="F43" t="s">
        <v>166</v>
      </c>
    </row>
    <row r="44" spans="1:6" x14ac:dyDescent="0.2">
      <c r="A44" s="18">
        <f t="shared" si="3"/>
        <v>5.4999999999999982</v>
      </c>
      <c r="B44" s="1" t="s">
        <v>134</v>
      </c>
      <c r="C44">
        <f>'Financial Statements'!B102/'Financial Statements'!B22</f>
        <v>-0.14870294480125848</v>
      </c>
      <c r="D44">
        <f>'Financial Statements'!C102/'Financial Statements'!C22</f>
        <v>-0.15279890156316012</v>
      </c>
      <c r="E44">
        <f>'Financial Statements'!D102/'Financial Statements'!D22</f>
        <v>-0.24526658654264863</v>
      </c>
    </row>
    <row r="45" spans="1:6" x14ac:dyDescent="0.2">
      <c r="A45" s="18"/>
      <c r="B45" s="3" t="s">
        <v>135</v>
      </c>
      <c r="C45">
        <f>'Financial Statements'!B102/'Financial Statements'!B25</f>
        <v>-2428.9689034369885</v>
      </c>
      <c r="D45">
        <f>'Financial Statements'!C102/'Financial Statements'!C25</f>
        <v>-2578.7878787878785</v>
      </c>
      <c r="E45">
        <f>'Financial Statements'!D102/'Financial Statements'!D25</f>
        <v>-4292.9878048780492</v>
      </c>
      <c r="F45" t="s">
        <v>167</v>
      </c>
    </row>
    <row r="46" spans="1:6" x14ac:dyDescent="0.2">
      <c r="A46" s="18">
        <f>+A44+0.1</f>
        <v>5.5999999999999979</v>
      </c>
      <c r="B46" s="1" t="s">
        <v>136</v>
      </c>
      <c r="C46">
        <f>'Financial Statements'!B102/177.62</f>
        <v>-83.554779867132083</v>
      </c>
      <c r="D46">
        <f>'Financial Statements'!C102/177.62</f>
        <v>-81.449161130503313</v>
      </c>
      <c r="E46">
        <f>'Financial Statements'!D102/177.62</f>
        <v>-79.275982434410537</v>
      </c>
      <c r="F46" t="s">
        <v>168</v>
      </c>
    </row>
    <row r="47" spans="1:6" x14ac:dyDescent="0.2">
      <c r="A47" s="18">
        <f t="shared" ref="A47:A50" si="4">+A45+0.1</f>
        <v>0.1</v>
      </c>
      <c r="B47" s="1" t="s">
        <v>137</v>
      </c>
      <c r="D47" s="23">
        <f>'Financial Statements'!C22/AVERAGE('Financial Statements'!B68:C68)</f>
        <v>1.6645276981768957</v>
      </c>
      <c r="E47" s="23">
        <f>'Financial Statements'!D22/AVERAGE('Financial Statements'!C68:D68)</f>
        <v>0.89405040917549772</v>
      </c>
    </row>
    <row r="48" spans="1:6" x14ac:dyDescent="0.2">
      <c r="A48" s="18">
        <f t="shared" si="4"/>
        <v>5.6999999999999975</v>
      </c>
      <c r="B48" s="1" t="s">
        <v>138</v>
      </c>
      <c r="C48">
        <f>C21/('Financial Statements'!B55+'Financial Statements'!B59+'Financial Statements'!B68)</f>
        <v>0.74295684845016452</v>
      </c>
      <c r="D48">
        <f>D21/('Financial Statements'!C55+'Financial Statements'!C59+'Financial Statements'!C670)</f>
        <v>0.91770483241941059</v>
      </c>
      <c r="E48">
        <f>E21/('Financial Statements'!D60+'Financial Statements'!D55+'Financial Statements'!D68)</f>
        <v>0.51545077059454747</v>
      </c>
      <c r="F48" t="s">
        <v>169</v>
      </c>
    </row>
    <row r="49" spans="1:6" x14ac:dyDescent="0.2">
      <c r="A49" s="18">
        <f t="shared" si="4"/>
        <v>0.2</v>
      </c>
      <c r="B49" s="1" t="s">
        <v>128</v>
      </c>
      <c r="D49" s="27">
        <f>D37</f>
        <v>0.31035428422026351</v>
      </c>
      <c r="E49" s="27">
        <f>E37</f>
        <v>0.19882054853383516</v>
      </c>
    </row>
    <row r="50" spans="1:6" x14ac:dyDescent="0.2">
      <c r="A50" s="18">
        <f t="shared" si="4"/>
        <v>5.7999999999999972</v>
      </c>
      <c r="B50" s="1" t="s">
        <v>139</v>
      </c>
      <c r="C50" s="29">
        <f>C51/C19</f>
        <v>22214.311302809081</v>
      </c>
      <c r="D50" s="29">
        <f>D51/D19</f>
        <v>24673.456635366329</v>
      </c>
      <c r="E50" s="29">
        <f>E51/E19</f>
        <v>39849.927606278448</v>
      </c>
      <c r="F50" t="s">
        <v>170</v>
      </c>
    </row>
    <row r="51" spans="1:6" x14ac:dyDescent="0.2">
      <c r="A51" s="18"/>
      <c r="B51" s="3" t="s">
        <v>140</v>
      </c>
      <c r="C51">
        <f>(('Financial Statements'!B28*177.62)+('Financial Statements'!B55+'Financial Statements'!B59)-('Financial Statements'!B36))</f>
        <v>2899878411.7800002</v>
      </c>
      <c r="D51">
        <f>(('Financial Statements'!C27*177.62)+('Financial Statements'!C55+'Financial Statements'!C59)-('Financial Statements'!C36))</f>
        <v>2966563711.6399999</v>
      </c>
      <c r="E51">
        <f>+(('Financial Statements'!D27*177.62)+('Financial Statements'!D59+'Financial Statements'!D55)-('Financial Statements'!D36))</f>
        <v>3082152800.7800002</v>
      </c>
      <c r="F51" t="s">
        <v>171</v>
      </c>
    </row>
    <row r="54" spans="1:6" x14ac:dyDescent="0.2">
      <c r="B54" s="17" t="s">
        <v>149</v>
      </c>
    </row>
    <row r="55" spans="1:6" x14ac:dyDescent="0.2">
      <c r="B55" s="1" t="s">
        <v>145</v>
      </c>
    </row>
    <row r="56" spans="1:6" x14ac:dyDescent="0.2">
      <c r="B56" t="s">
        <v>178</v>
      </c>
      <c r="C56" s="26">
        <f>'Financial Statements'!B8/'Financial Statements'!C8-1</f>
        <v>7.7937876041846099E-2</v>
      </c>
      <c r="D56" s="26">
        <f>'Financial Statements'!C8/'Financial Statements'!D8-1</f>
        <v>0.33259384733074704</v>
      </c>
    </row>
    <row r="57" spans="1:6" x14ac:dyDescent="0.2">
      <c r="B57" t="s">
        <v>179</v>
      </c>
      <c r="C57" s="26">
        <f>'Financial Statements'!B6/'Financial Statements'!C6-1</f>
        <v>6.3239764351428418E-2</v>
      </c>
      <c r="D57" s="26">
        <f>'Financial Statements'!C6/'Financial Statements'!D6-1</f>
        <v>0.34720743656765429</v>
      </c>
    </row>
    <row r="58" spans="1:6" x14ac:dyDescent="0.2">
      <c r="B58" t="s">
        <v>180</v>
      </c>
      <c r="C58" s="26">
        <f>'Financial Statements'!B7/'Financial Statements'!C7-1</f>
        <v>0.14181951041286078</v>
      </c>
      <c r="D58" s="26">
        <f>'Financial Statements'!C7/'Financial Statements'!D7-1</f>
        <v>0.27259708376729663</v>
      </c>
    </row>
    <row r="59" spans="1:6" x14ac:dyDescent="0.2">
      <c r="B59" t="s">
        <v>181</v>
      </c>
      <c r="C59" s="26">
        <f>'Financial Statements'!B12/'Financial Statements'!C12-1</f>
        <v>4.960536385874792E-2</v>
      </c>
      <c r="D59" s="26">
        <f>'Financial Statements'!C12/'Financial Statements'!D12-1</f>
        <v>0.25608785142634716</v>
      </c>
    </row>
    <row r="60" spans="1:6" x14ac:dyDescent="0.2">
      <c r="B60" s="1" t="s">
        <v>179</v>
      </c>
      <c r="C60" s="26">
        <f>'Financial Statements'!B10/'Financial Statements'!C10-1</f>
        <v>4.7876379599097074E-2</v>
      </c>
      <c r="D60" s="26">
        <f>'Financial Statements'!C10/'Financial Statements'!D10-1</f>
        <v>0.27087767539626939</v>
      </c>
    </row>
    <row r="61" spans="1:6" x14ac:dyDescent="0.2">
      <c r="B61" t="str">
        <f>B58</f>
        <v xml:space="preserve">Services </v>
      </c>
      <c r="C61" s="26">
        <f>'Financial Statements'!B11/'Financial Statements'!C11-1</f>
        <v>6.5652908520395847E-2</v>
      </c>
      <c r="D61" s="26">
        <f>'Financial Statements'!C11/'Financial Statements'!D11-1</f>
        <v>0.13363979642094903</v>
      </c>
    </row>
    <row r="62" spans="1:6" x14ac:dyDescent="0.2">
      <c r="B62" s="1" t="s">
        <v>89</v>
      </c>
      <c r="C62" s="26">
        <f>'Financial Statements'!B13/'Financial Statements'!C13-1</f>
        <v>0.1174199795859614</v>
      </c>
      <c r="D62" s="26">
        <f>'Financial Statements'!C13/'Financial Statements'!D13-1</f>
        <v>0.45619116582186825</v>
      </c>
    </row>
    <row r="63" spans="1:6" x14ac:dyDescent="0.2">
      <c r="B63" s="1" t="s">
        <v>182</v>
      </c>
    </row>
    <row r="64" spans="1:6" x14ac:dyDescent="0.2">
      <c r="B64" s="1" t="s">
        <v>183</v>
      </c>
      <c r="C64" s="26">
        <f>'Financial Statements'!B15/'Financial Statements'!C15-1</f>
        <v>0.19791001186456136</v>
      </c>
      <c r="D64" s="26">
        <f>'Financial Statements'!C15/'Financial Statements'!D15-1</f>
        <v>0.16862201365187723</v>
      </c>
    </row>
    <row r="65" spans="2:5" x14ac:dyDescent="0.2">
      <c r="B65" s="1" t="s">
        <v>184</v>
      </c>
      <c r="C65" s="26">
        <f>'Financial Statements'!B16/'Financial Statements'!C16-1</f>
        <v>0.14203795567287125</v>
      </c>
      <c r="D65" s="26">
        <f>'Financial Statements'!C16/'Financial Statements'!D16-1</f>
        <v>0.10328379192608961</v>
      </c>
    </row>
    <row r="66" spans="2:5" x14ac:dyDescent="0.2">
      <c r="B66" s="1" t="s">
        <v>189</v>
      </c>
    </row>
    <row r="67" spans="2:5" x14ac:dyDescent="0.2">
      <c r="B67" s="1" t="s">
        <v>185</v>
      </c>
      <c r="C67" s="23">
        <f>'Financial Statements'!B42/'Financial Statements'!C42-1</f>
        <v>4.2199412619774446E-3</v>
      </c>
      <c r="D67" s="26">
        <f>'Financial Statements'!C42/'Financial Statements'!D42-1</f>
        <v>-6.1768942266879123E-2</v>
      </c>
    </row>
    <row r="68" spans="2:5" x14ac:dyDescent="0.2">
      <c r="B68" s="1" t="s">
        <v>186</v>
      </c>
      <c r="C68" s="26">
        <f>'Financial Statements'!B47/'Financial Statements'!C47-1</f>
        <v>5.477272096444441E-3</v>
      </c>
      <c r="D68" s="33">
        <f>'Financial Statements'!C47/'Financial Statements'!D47-1</f>
        <v>0.19975579297904811</v>
      </c>
    </row>
    <row r="69" spans="2:5" x14ac:dyDescent="0.2">
      <c r="B69" s="1" t="s">
        <v>187</v>
      </c>
      <c r="C69" s="26">
        <f>'Financial Statements'!B56/'Financial Statements'!C56-1</f>
        <v>0.22713398841258825</v>
      </c>
      <c r="D69" s="26">
        <f>'Financial Statements'!C56/'Financial Statements'!D56-1</f>
        <v>0.19061219067860935</v>
      </c>
    </row>
    <row r="70" spans="2:5" x14ac:dyDescent="0.2">
      <c r="B70" s="1" t="s">
        <v>188</v>
      </c>
      <c r="C70" s="26">
        <f>'Financial Statements'!B61/'Financial Statements'!C61-1</f>
        <v>-8.8222075835277747E-2</v>
      </c>
      <c r="D70" s="26">
        <f>'Financial Statements'!C61/'Financial Statements'!D61-1</f>
        <v>6.0552243775994663E-2</v>
      </c>
    </row>
    <row r="72" spans="2:5" x14ac:dyDescent="0.2">
      <c r="B72" s="17" t="s">
        <v>92</v>
      </c>
    </row>
    <row r="73" spans="2:5" x14ac:dyDescent="0.2">
      <c r="B73" s="1" t="s">
        <v>146</v>
      </c>
      <c r="C73" s="26">
        <f>'Financial Statements'!B12/'Financial Statements'!B8</f>
        <v>0.56690369438639909</v>
      </c>
      <c r="D73" s="26">
        <f>'Financial Statements'!C12/'Financial Statements'!C8</f>
        <v>0.58220640374832222</v>
      </c>
      <c r="E73" s="26">
        <f>'Financial Statements'!D12/'Financial Statements'!D8</f>
        <v>0.61766752272189129</v>
      </c>
    </row>
    <row r="74" spans="2:5" x14ac:dyDescent="0.2">
      <c r="B74" s="1" t="s">
        <v>89</v>
      </c>
      <c r="C74" s="26">
        <f>'Financial Statements'!B13/'Financial Statements'!B8</f>
        <v>0.43309630561360085</v>
      </c>
      <c r="D74" s="26">
        <f>'Financial Statements'!C13/'Financial Statements'!C8</f>
        <v>0.41779359625167778</v>
      </c>
      <c r="E74">
        <f>'Financial Statements'!D13/'Financial Statements'!D8</f>
        <v>0.38233247727810865</v>
      </c>
    </row>
    <row r="75" spans="2:5" x14ac:dyDescent="0.2">
      <c r="B75" s="1" t="s">
        <v>176</v>
      </c>
    </row>
    <row r="76" spans="2:5" x14ac:dyDescent="0.2">
      <c r="B76" s="1" t="s">
        <v>11</v>
      </c>
      <c r="C76" s="26">
        <f>'Financial Statements'!B15/'Financial Statements'!B8</f>
        <v>6.657148363798665E-2</v>
      </c>
      <c r="D76" s="33">
        <f>'Financial Statements'!C16/'Financial Statements'!C8</f>
        <v>6.006555190163388E-2</v>
      </c>
      <c r="E76" s="26">
        <f>'Financial Statements'!D15/'Financial Statements'!D8</f>
        <v>6.8309564140393061E-2</v>
      </c>
    </row>
    <row r="77" spans="2:5" x14ac:dyDescent="0.2">
      <c r="B77" s="1" t="s">
        <v>177</v>
      </c>
      <c r="C77" s="26">
        <f>'Financial Statements'!B16/'Financial Statements'!B8</f>
        <v>6.3637378020328261E-2</v>
      </c>
      <c r="D77" s="33">
        <f>'Financial Statements'!C16/'Financial Statements'!C8</f>
        <v>6.006555190163388E-2</v>
      </c>
      <c r="E77" s="26">
        <f>'Financial Statements'!D16/'Financial Statements'!D8</f>
        <v>7.2549769593646979E-2</v>
      </c>
    </row>
    <row r="78" spans="2:5" x14ac:dyDescent="0.2">
      <c r="B78" s="1" t="s">
        <v>14</v>
      </c>
      <c r="C78" s="26">
        <f>'Financial Statements'!B18/'Financial Statements'!B8</f>
        <v>0.30288744395528594</v>
      </c>
      <c r="D78" s="26">
        <f>'Financial Statements'!C18/'Financial Statements'!C8</f>
        <v>0.29782377527561593</v>
      </c>
      <c r="E78" s="26">
        <f>'Financial Statements'!D18/'Financial Statements'!D8</f>
        <v>0.24147314354406862</v>
      </c>
    </row>
    <row r="79" spans="2:5" x14ac:dyDescent="0.2">
      <c r="B79" s="1" t="s">
        <v>93</v>
      </c>
      <c r="C79" s="26">
        <f>'Financial Statements'!B22/'Financial Statements'!B8</f>
        <v>0.25309640705199732</v>
      </c>
      <c r="D79" s="26">
        <f>'Financial Statements'!C22/'Financial Statements'!C8</f>
        <v>0.25881793355694238</v>
      </c>
      <c r="E79" s="26">
        <f>'Financial Statements'!D22/'Financial Statements'!D8</f>
        <v>0.20913611278072236</v>
      </c>
    </row>
    <row r="81" spans="2:5" x14ac:dyDescent="0.2">
      <c r="B81" s="17" t="s">
        <v>98</v>
      </c>
    </row>
    <row r="82" spans="2:5" x14ac:dyDescent="0.2">
      <c r="B82" s="1" t="s">
        <v>94</v>
      </c>
      <c r="C82" s="26">
        <f>'Financial Statements'!B21/'Financial Statements'!B20</f>
        <v>0.16204461684424407</v>
      </c>
      <c r="D82" s="23">
        <f>'Financial Statements'!C19/'Financial Statements'!C18</f>
        <v>2.3680804780218268E-3</v>
      </c>
      <c r="E82" s="26">
        <f>'Financial Statements'!D21/'Financial Statements'!D20</f>
        <v>0.14428164731484103</v>
      </c>
    </row>
    <row r="83" spans="2:5" x14ac:dyDescent="0.2">
      <c r="B83" s="1" t="s">
        <v>95</v>
      </c>
      <c r="C83" s="26">
        <f>O21/'Financial Statements'!B8</f>
        <v>3.4948063541011543E-2</v>
      </c>
      <c r="D83" s="26">
        <f>P21/'Financial Statements'!C8</f>
        <v>2.2421046588868204E-2</v>
      </c>
    </row>
    <row r="84" spans="2:5" x14ac:dyDescent="0.2">
      <c r="B84" s="1" t="s">
        <v>96</v>
      </c>
      <c r="C84" s="23">
        <f>O21/'Financial Statements'!B47</f>
        <v>6.3404646882907756E-2</v>
      </c>
      <c r="D84" s="26">
        <f>P21/'Financial Statements'!C47</f>
        <v>3.7943062276213649E-2</v>
      </c>
    </row>
  </sheetData>
  <mergeCells count="1">
    <mergeCell ref="C2:E2"/>
  </mergeCells>
  <pageMargins left="0.7" right="0.7" top="0.75" bottom="0.75" header="0.3" footer="0.3"/>
  <ignoredErrors>
    <ignoredError sqref="D35:E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Samuel Baah-Achemfour</cp:lastModifiedBy>
  <dcterms:created xsi:type="dcterms:W3CDTF">2020-05-18T16:32:37Z</dcterms:created>
  <dcterms:modified xsi:type="dcterms:W3CDTF">2023-09-18T17:58:31Z</dcterms:modified>
</cp:coreProperties>
</file>